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Adrien\Dropbox\CCR PMGF\0 - Docs à remplir par PP\"/>
    </mc:Choice>
  </mc:AlternateContent>
  <bookViews>
    <workbookView xWindow="0" yWindow="0" windowWidth="19200" windowHeight="11784" tabRatio="745" firstSheet="1" activeTab="5"/>
  </bookViews>
  <sheets>
    <sheet name="Accueil" sheetId="1" state="hidden" r:id="rId1"/>
    <sheet name="Accueil et légendes" sheetId="24" r:id="rId2"/>
    <sheet name="Géothermie" sheetId="28" state="hidden" r:id="rId3"/>
    <sheet name="Géothermie V3" sheetId="40" state="hidden" r:id="rId4"/>
    <sheet name="Fiche projet géothermie" sheetId="41" r:id="rId5"/>
    <sheet name="RECAP" sheetId="43" r:id="rId6"/>
    <sheet name="A remplir - calcul aide" sheetId="30" r:id="rId7"/>
    <sheet name="Aide" sheetId="42" state="hidden" r:id="rId8"/>
    <sheet name="menus geothermie" sheetId="15" r:id="rId9"/>
    <sheet name="Géothermie V2" sheetId="38" state="hidden" r:id="rId10"/>
    <sheet name="Elements du FC à garder ds 1 wo" sheetId="37" state="hidden" r:id="rId11"/>
    <sheet name="Schemas FC Géothermie" sheetId="33" r:id="rId12"/>
    <sheet name="exemple biomasse" sheetId="21" state="hidden" r:id="rId13"/>
    <sheet name="PAC sur nappe" sheetId="36" state="hidden" r:id="rId14"/>
    <sheet name="Glossaire" sheetId="35" r:id="rId15"/>
    <sheet name="Valeurs de reference" sheetId="2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ftn1" localSheetId="12">'exemple biomasse'!#REF!</definedName>
    <definedName name="_ftnref1" localSheetId="12">'exemple biomasse'!$B$138</definedName>
    <definedName name="Administration">'PAC sur nappe'!$F$181</definedName>
    <definedName name="Agricole">'PAC sur nappe'!$F$179</definedName>
    <definedName name="aide_etude_ge" localSheetId="4">#REF!</definedName>
    <definedName name="aide_etude_ge" localSheetId="9">#REF!</definedName>
    <definedName name="aide_etude_ge" localSheetId="3">#REF!</definedName>
    <definedName name="aide_etude_ge" localSheetId="5">#REF!</definedName>
    <definedName name="aide_etude_ge">#REF!</definedName>
    <definedName name="aide_etude_me" localSheetId="4">#REF!</definedName>
    <definedName name="aide_etude_me" localSheetId="9">#REF!</definedName>
    <definedName name="aide_etude_me" localSheetId="3">#REF!</definedName>
    <definedName name="aide_etude_me" localSheetId="5">#REF!</definedName>
    <definedName name="aide_etude_me">#REF!</definedName>
    <definedName name="aide_etude_non_eco" localSheetId="4">#REF!</definedName>
    <definedName name="aide_etude_non_eco" localSheetId="9">#REF!</definedName>
    <definedName name="aide_etude_non_eco" localSheetId="3">#REF!</definedName>
    <definedName name="aide_etude_non_eco" localSheetId="5">#REF!</definedName>
    <definedName name="aide_etude_non_eco">#REF!</definedName>
    <definedName name="aide_etude_pe" localSheetId="4">#REF!</definedName>
    <definedName name="aide_etude_pe" localSheetId="9">#REF!</definedName>
    <definedName name="aide_etude_pe" localSheetId="3">#REF!</definedName>
    <definedName name="aide_etude_pe" localSheetId="5">#REF!</definedName>
    <definedName name="aide_etude_pe">#REF!</definedName>
    <definedName name="analyse_eco">[1]List!$D$3</definedName>
    <definedName name="appoint2">'[2]paramètres entrée'!$B$2:$B$6</definedName>
    <definedName name="autofinancement">'[3]Fiche projet biomasse'!$E$233</definedName>
    <definedName name="Autre">'PAC sur nappe'!$F$184</definedName>
    <definedName name="B_collectif" localSheetId="5">'[3]menus biomasse'!$Y$7</definedName>
    <definedName name="B_collectif">'menus geothermie'!$X$7</definedName>
    <definedName name="B_entreprise" localSheetId="5">'[3]menus biomasse'!$Y$8</definedName>
    <definedName name="B_entreprise">'menus geothermie'!$X$8</definedName>
    <definedName name="Ballons_élec">'[4]PAC sur eaux usées'!$C$173</definedName>
    <definedName name="bat_1">'menus geothermie'!$AI$7</definedName>
    <definedName name="bat_2">'menus geothermie'!$AI$8</definedName>
    <definedName name="bat_collectif">'menus geothermie'!$Z$7</definedName>
    <definedName name="bat_decret">'menus geothermie'!$Z$8</definedName>
    <definedName name="bat_non">'menus geothermie'!$Z$9</definedName>
    <definedName name="Bois_granulés" localSheetId="4">'[4]PAC sur champ de sondes'!#REF!</definedName>
    <definedName name="Bois_granulés" localSheetId="9">'[4]PAC sur champ de sondes'!#REF!</definedName>
    <definedName name="Bois_granulés" localSheetId="3">'[4]PAC sur champ de sondes'!#REF!</definedName>
    <definedName name="Bois_granulés">'[4]PAC sur champ de sondes'!#REF!</definedName>
    <definedName name="Bois_plaquette" localSheetId="4">'[4]PAC sur champ de sondes'!#REF!</definedName>
    <definedName name="Bois_plaquette" localSheetId="9">'[4]PAC sur champ de sondes'!#REF!</definedName>
    <definedName name="Bois_plaquette" localSheetId="3">'[4]PAC sur champ de sondes'!#REF!</definedName>
    <definedName name="Bois_plaquette">'[4]PAC sur champ de sondes'!#REF!</definedName>
    <definedName name="categorie" localSheetId="5">'[3]Fiche projet biomasse'!$G$26</definedName>
    <definedName name="categorie">'exemple biomasse'!$G$26</definedName>
    <definedName name="cc">'Fiche projet géothermie'!$I$149</definedName>
    <definedName name="ch_1">'menus geothermie'!$AI$7</definedName>
    <definedName name="ch_attestation_normes_nappe">'Fiche projet géothermie'!#REF!</definedName>
    <definedName name="ch_attestation_normes_sondes">'Fiche projet géothermie'!#REF!</definedName>
    <definedName name="ch_avenant" localSheetId="5">[5]AF!$D$11</definedName>
    <definedName name="ch_avenant">[6]AF!$D$11</definedName>
    <definedName name="ch_BEt_et_sous_sol">'Fiche projet géothermie'!$B$83</definedName>
    <definedName name="ch_biomasse_collectif" localSheetId="4">#REF!</definedName>
    <definedName name="ch_biomasse_collectif" localSheetId="9">#REF!</definedName>
    <definedName name="ch_biomasse_collectif" localSheetId="3">#REF!</definedName>
    <definedName name="ch_biomasse_collectif" localSheetId="5">#REF!</definedName>
    <definedName name="ch_biomasse_collectif">#REF!</definedName>
    <definedName name="ch_biomasse_industrie" localSheetId="4">#REF!</definedName>
    <definedName name="ch_biomasse_industrie" localSheetId="9">#REF!</definedName>
    <definedName name="ch_biomasse_industrie" localSheetId="3">#REF!</definedName>
    <definedName name="ch_biomasse_industrie" localSheetId="5">#REF!</definedName>
    <definedName name="ch_biomasse_industrie">#REF!</definedName>
    <definedName name="ch_ceel1">'Fiche projet géothermie'!$E$220</definedName>
    <definedName name="ch_ceel2">'Fiche projet géothermie'!$E$221</definedName>
    <definedName name="ch_ceel3">'Fiche projet géothermie'!$E$222</definedName>
    <definedName name="ch_ceel4">'Fiche projet géothermie'!$E$223</definedName>
    <definedName name="ch_ceel5">'Fiche projet géothermie'!$E$224</definedName>
    <definedName name="ch_ceel6">'Fiche projet géothermie'!$E$225</definedName>
    <definedName name="ch_cet1">'Fiche projet géothermie'!$C$220</definedName>
    <definedName name="ch_cet2">'Fiche projet géothermie'!$C$221</definedName>
    <definedName name="ch_cet3">'Fiche projet géothermie'!$C$222</definedName>
    <definedName name="ch_cet4">'Fiche projet géothermie'!$C$223</definedName>
    <definedName name="ch_chauf_biomasse" localSheetId="5">[5]AF!$F$24</definedName>
    <definedName name="ch_chauf_biomasse">[6]AF!$F$24</definedName>
    <definedName name="ch_chauffage">'Fiche projet géothermie'!$H$34</definedName>
    <definedName name="ch_chaufferie_biomasse">RECAP!#REF!</definedName>
    <definedName name="ch_collectif">'menus geothermie'!$X$7</definedName>
    <definedName name="ch_constructionneuve">'Fiche projet géothermie'!$H$38</definedName>
    <definedName name="ch_eauxusees" localSheetId="4">'Fiche projet géothermie'!$H$32</definedName>
    <definedName name="ch_eauxusees">'Géothermie V3'!$H$31</definedName>
    <definedName name="ch_eco" localSheetId="5">[5]List!$B$2</definedName>
    <definedName name="ch_eco">[6]List!$B$2</definedName>
    <definedName name="ch_ecs">'Fiche projet géothermie'!$H$35</definedName>
    <definedName name="ch_entreprise">'menus geothermie'!$X$8</definedName>
    <definedName name="ch_etudes" localSheetId="5">[5]AF!$F$22</definedName>
    <definedName name="ch_etudes">[6]AF!$F$22</definedName>
    <definedName name="ch_froidactif">'Fiche projet géothermie'!$H$36</definedName>
    <definedName name="ch_geocooling">'Fiche projet géothermie'!$H$37</definedName>
    <definedName name="ch_geothermie" localSheetId="5">[5]AF!$F$29</definedName>
    <definedName name="ch_geothermie">[6]AF!$F$29</definedName>
    <definedName name="ch_grande" localSheetId="5">[5]List!$C$4</definedName>
    <definedName name="ch_grande">[6]List!$C$4</definedName>
    <definedName name="ch_localisation">RECAP!$D$24</definedName>
    <definedName name="ch_mise_en_page" localSheetId="5">[5]AF!$E$14</definedName>
    <definedName name="ch_mise_en_page">[6]AF!$E$14</definedName>
    <definedName name="ch_moyenne" localSheetId="5">[5]List!$C$3</definedName>
    <definedName name="ch_moyenne">[6]List!$C$3</definedName>
    <definedName name="ch_nappe" localSheetId="4">'Fiche projet géothermie'!$H$30</definedName>
    <definedName name="ch_nappe">'Géothermie V3'!$H$29</definedName>
    <definedName name="ch_nature_activite">'[1]AF fonds chaleur'!$D$16</definedName>
    <definedName name="ch_non_eco" localSheetId="5">[5]List!$B$3</definedName>
    <definedName name="ch_non_eco">[6]List!$B$3</definedName>
    <definedName name="ch_num_contrat" localSheetId="5">[5]AF!$D$9</definedName>
    <definedName name="ch_num_contrat">[6]AF!$D$9</definedName>
    <definedName name="ch_oui" localSheetId="5">[5]List!$A$2</definedName>
    <definedName name="ch_oui">[6]List!$A$2</definedName>
    <definedName name="ch_oui_non" localSheetId="5">[5]List!$A$2:$A$3</definedName>
    <definedName name="ch_oui_non">[6]List!$A$2:$A$3</definedName>
    <definedName name="ch_outre_mer" localSheetId="5">[5]List!$D$3</definedName>
    <definedName name="ch_outre_mer">[6]List!$D$3</definedName>
    <definedName name="ch_patrimonial" localSheetId="5">[5]List!$J$3</definedName>
    <definedName name="ch_patrimonial">[6]List!$J$3</definedName>
    <definedName name="ch_petite" localSheetId="5">[5]List!$C$2</definedName>
    <definedName name="ch_petite">[6]List!$C$2</definedName>
    <definedName name="ch_prod_enr">RECAP!#REF!</definedName>
    <definedName name="ch_renovationcomplete">'Fiche projet géothermie'!$H$39</definedName>
    <definedName name="ch_renovationenergetique">'Fiche projet géothermie'!$H$40</definedName>
    <definedName name="ch_reseau" localSheetId="5">[5]AF!$F$31</definedName>
    <definedName name="ch_reseau">[6]AF!$F$31</definedName>
    <definedName name="ch_reseaudechaleur">'Fiche projet géothermie'!$H$33</definedName>
    <definedName name="ch_solaire" localSheetId="5">[5]AF!$F$26</definedName>
    <definedName name="ch_solaire">[6]AF!$F$26</definedName>
    <definedName name="ch_solaire_bat_exi" localSheetId="5">[5]List!$G$3</definedName>
    <definedName name="ch_solaire_bat_exi">[6]List!$G$3</definedName>
    <definedName name="ch_solaire_collectif" localSheetId="5">[5]List!$E$4</definedName>
    <definedName name="ch_solaire_collectif">[6]List!$E$4</definedName>
    <definedName name="ch_solaire_inj" localSheetId="5">[5]List!$E$2</definedName>
    <definedName name="ch_solaire_inj">[6]List!$E$2</definedName>
    <definedName name="ch_solaire_med" localSheetId="4">#REF!</definedName>
    <definedName name="ch_solaire_med" localSheetId="9">#REF!</definedName>
    <definedName name="ch_solaire_med" localSheetId="3">#REF!</definedName>
    <definedName name="ch_solaire_med" localSheetId="5">#REF!</definedName>
    <definedName name="ch_solaire_med">#REF!</definedName>
    <definedName name="ch_solaire_nord" localSheetId="4">#REF!</definedName>
    <definedName name="ch_solaire_nord" localSheetId="9">#REF!</definedName>
    <definedName name="ch_solaire_nord" localSheetId="3">#REF!</definedName>
    <definedName name="ch_solaire_nord" localSheetId="5">#REF!</definedName>
    <definedName name="ch_solaire_nord">#REF!</definedName>
    <definedName name="ch_solaire_sol" localSheetId="4">#REF!</definedName>
    <definedName name="ch_solaire_sol" localSheetId="9">#REF!</definedName>
    <definedName name="ch_solaire_sol" localSheetId="3">#REF!</definedName>
    <definedName name="ch_solaire_sol" localSheetId="5">#REF!</definedName>
    <definedName name="ch_solaire_sol">#REF!</definedName>
    <definedName name="ch_solaire_sud" localSheetId="4">#REF!</definedName>
    <definedName name="ch_solaire_sud" localSheetId="9">#REF!</definedName>
    <definedName name="ch_solaire_sud" localSheetId="3">#REF!</definedName>
    <definedName name="ch_solaire_sud" localSheetId="5">#REF!</definedName>
    <definedName name="ch_solaire_sud">#REF!</definedName>
    <definedName name="ch_solaire_toiture" localSheetId="4">#REF!</definedName>
    <definedName name="ch_solaire_toiture" localSheetId="9">#REF!</definedName>
    <definedName name="ch_solaire_toiture" localSheetId="3">#REF!</definedName>
    <definedName name="ch_solaire_toiture" localSheetId="5">#REF!</definedName>
    <definedName name="ch_solaire_toiture">#REF!</definedName>
    <definedName name="ch_sondes" localSheetId="4">'Fiche projet géothermie'!$H$31</definedName>
    <definedName name="ch_sondes">'Géothermie V3'!$H$30</definedName>
    <definedName name="ch_surface" localSheetId="4">'Fiche projet géothermie'!#REF!</definedName>
    <definedName name="ch_surface">'Géothermie V3'!$H$32</definedName>
    <definedName name="ch_taille">RECAP!$D$21</definedName>
    <definedName name="ch_territorial" localSheetId="5">[5]List!$J$2</definedName>
    <definedName name="ch_territorial">[6]List!$J$2</definedName>
    <definedName name="ch_travauxmelange">'Fiche projet géothermie'!$H$41</definedName>
    <definedName name="checo">[1]List!$A$2</definedName>
    <definedName name="chnoneco">[1]List!$A$3</definedName>
    <definedName name="choui">[1]List!$E$2</definedName>
    <definedName name="Collecteur_EU">'[4]PAC sur eaux usées'!$C$176</definedName>
    <definedName name="collectif">'menus geothermie'!$X$7</definedName>
    <definedName name="Conso_annuelle" localSheetId="4">#REF!</definedName>
    <definedName name="Conso_annuelle" localSheetId="9">#REF!</definedName>
    <definedName name="Conso_annuelle" localSheetId="3">#REF!</definedName>
    <definedName name="Conso_annuelle" localSheetId="5">'[3]Aide qualité'!$F$19</definedName>
    <definedName name="Conso_annuelle" localSheetId="15">'[7]Fiche de vérification'!$F$19</definedName>
    <definedName name="Conso_annuelle">#REF!</definedName>
    <definedName name="conso_appoint">'exemple biomasse'!$B$136</definedName>
    <definedName name="cop_chaud">'Fiche projet géothermie'!$G$148</definedName>
    <definedName name="cop_ecs">'Fiche projet géothermie'!$H$148</definedName>
    <definedName name="COP_PAC">'PAC sur nappe'!$E$28</definedName>
    <definedName name="Couplé_référence">'[4]PAC sur eaux usées'!$C$174</definedName>
    <definedName name="Cp_eau">'PAC sur nappe'!$D$195</definedName>
    <definedName name="Cp_eau_glycolée">'PAC sur nappe'!$D$196</definedName>
    <definedName name="date_dda" localSheetId="5">[5]AF!$D$13</definedName>
    <definedName name="date_dda">[6]AF!$D$13</definedName>
    <definedName name="delta_T">'PAC sur nappe'!$D$190</definedName>
    <definedName name="delta_T_echangeur">'PAC sur nappe'!$D$191</definedName>
    <definedName name="delta_T_nappe">'PAC sur nappe'!$D$190</definedName>
    <definedName name="demarche">'[2]paramètres entrée'!$D$2:$D$5</definedName>
    <definedName name="Densite_therm_min" localSheetId="4">#REF!</definedName>
    <definedName name="Densite_therm_min" localSheetId="9">#REF!</definedName>
    <definedName name="Densite_therm_min" localSheetId="3">#REF!</definedName>
    <definedName name="Densite_therm_min" localSheetId="5">#REF!</definedName>
    <definedName name="Densite_therm_min" localSheetId="15">#REF!</definedName>
    <definedName name="Densite_therm_min">#REF!</definedName>
    <definedName name="DPE">'menus geothermie'!$T$7</definedName>
    <definedName name="duree_eaux" localSheetId="4">'Fiche projet géothermie'!$H$211</definedName>
    <definedName name="duree_eaux">'Géothermie V3'!$H$204</definedName>
    <definedName name="duree_nappe" localSheetId="4">'Fiche projet géothermie'!#REF!</definedName>
    <definedName name="duree_nappe">'Géothermie V3'!$J$174</definedName>
    <definedName name="duree_sondes" localSheetId="4">'Fiche projet géothermie'!#REF!</definedName>
    <definedName name="duree_sondes">'Géothermie V3'!$H$185</definedName>
    <definedName name="eer_froid">'Fiche projet géothermie'!$I$149</definedName>
    <definedName name="eer_froidactif">'Fiche projet géothermie'!$I$148</definedName>
    <definedName name="Elec">'[4]PAC sur eaux usées'!$F$173</definedName>
    <definedName name="entreprise">'menus geothermie'!$X$8</definedName>
    <definedName name="entretien" localSheetId="4">'Fiche projet géothermie'!#REF!</definedName>
    <definedName name="entretien">'Géothermie V3'!$B$87</definedName>
    <definedName name="Excel_BuiltIn__FilterDatabase_4" localSheetId="5">'[3]Valeurs de reference'!$F$41:$F$41</definedName>
    <definedName name="Excel_BuiltIn__FilterDatabase_4">'Valeurs de reference'!$F$41:$F$41</definedName>
    <definedName name="forfait">[1]List!$D$2</definedName>
    <definedName name="forfait_biomasse_col_1" localSheetId="4">#REF!</definedName>
    <definedName name="forfait_biomasse_col_1" localSheetId="9">#REF!</definedName>
    <definedName name="forfait_biomasse_col_1" localSheetId="3">#REF!</definedName>
    <definedName name="forfait_biomasse_col_1" localSheetId="5">#REF!</definedName>
    <definedName name="forfait_biomasse_col_1">#REF!</definedName>
    <definedName name="forfait_biomasse_col_2" localSheetId="4">#REF!</definedName>
    <definedName name="forfait_biomasse_col_2" localSheetId="9">#REF!</definedName>
    <definedName name="forfait_biomasse_col_2" localSheetId="3">#REF!</definedName>
    <definedName name="forfait_biomasse_col_2" localSheetId="5">#REF!</definedName>
    <definedName name="forfait_biomasse_col_2">#REF!</definedName>
    <definedName name="forfait_biomasse_col_3" localSheetId="4">#REF!</definedName>
    <definedName name="forfait_biomasse_col_3" localSheetId="9">#REF!</definedName>
    <definedName name="forfait_biomasse_col_3" localSheetId="3">#REF!</definedName>
    <definedName name="forfait_biomasse_col_3" localSheetId="5">#REF!</definedName>
    <definedName name="forfait_biomasse_col_3">#REF!</definedName>
    <definedName name="forfait_biomasse_col_4" localSheetId="4">#REF!</definedName>
    <definedName name="forfait_biomasse_col_4" localSheetId="9">#REF!</definedName>
    <definedName name="forfait_biomasse_col_4" localSheetId="3">#REF!</definedName>
    <definedName name="forfait_biomasse_col_4" localSheetId="5">#REF!</definedName>
    <definedName name="forfait_biomasse_col_4">#REF!</definedName>
    <definedName name="forfait_biomasse_indus_1" localSheetId="4">#REF!</definedName>
    <definedName name="forfait_biomasse_indus_1" localSheetId="9">#REF!</definedName>
    <definedName name="forfait_biomasse_indus_1" localSheetId="3">#REF!</definedName>
    <definedName name="forfait_biomasse_indus_1" localSheetId="5">#REF!</definedName>
    <definedName name="forfait_biomasse_indus_1">#REF!</definedName>
    <definedName name="forfait_biomasse_indus_2" localSheetId="4">#REF!</definedName>
    <definedName name="forfait_biomasse_indus_2" localSheetId="9">#REF!</definedName>
    <definedName name="forfait_biomasse_indus_2" localSheetId="3">#REF!</definedName>
    <definedName name="forfait_biomasse_indus_2" localSheetId="5">#REF!</definedName>
    <definedName name="forfait_biomasse_indus_2">#REF!</definedName>
    <definedName name="forfait_biomasse_indus_3" localSheetId="4">#REF!</definedName>
    <definedName name="forfait_biomasse_indus_3" localSheetId="9">#REF!</definedName>
    <definedName name="forfait_biomasse_indus_3" localSheetId="3">#REF!</definedName>
    <definedName name="forfait_biomasse_indus_3" localSheetId="5">#REF!</definedName>
    <definedName name="forfait_biomasse_indus_3">#REF!</definedName>
    <definedName name="forfait_biomasse_indus_4" localSheetId="4">#REF!</definedName>
    <definedName name="forfait_biomasse_indus_4" localSheetId="9">#REF!</definedName>
    <definedName name="forfait_biomasse_indus_4" localSheetId="3">#REF!</definedName>
    <definedName name="forfait_biomasse_indus_4" localSheetId="5">#REF!</definedName>
    <definedName name="forfait_biomasse_indus_4">#REF!</definedName>
    <definedName name="forfait_geocooling" localSheetId="4">#REF!</definedName>
    <definedName name="forfait_geocooling" localSheetId="9">#REF!</definedName>
    <definedName name="forfait_geocooling" localSheetId="3">#REF!</definedName>
    <definedName name="forfait_geocooling" localSheetId="5">#REF!</definedName>
    <definedName name="forfait_geocooling">#REF!</definedName>
    <definedName name="forfait_pac_mer" localSheetId="4">#REF!</definedName>
    <definedName name="forfait_pac_mer" localSheetId="9">#REF!</definedName>
    <definedName name="forfait_pac_mer" localSheetId="3">#REF!</definedName>
    <definedName name="forfait_pac_mer" localSheetId="5">#REF!</definedName>
    <definedName name="forfait_pac_mer">#REF!</definedName>
    <definedName name="forfait_pac_sondes" localSheetId="4">#REF!</definedName>
    <definedName name="forfait_pac_sondes" localSheetId="9">#REF!</definedName>
    <definedName name="forfait_pac_sondes" localSheetId="3">#REF!</definedName>
    <definedName name="forfait_pac_sondes" localSheetId="5">#REF!</definedName>
    <definedName name="forfait_pac_sondes">#REF!</definedName>
    <definedName name="forfait_pac_superficiel" localSheetId="4">#REF!</definedName>
    <definedName name="forfait_pac_superficiel" localSheetId="9">#REF!</definedName>
    <definedName name="forfait_pac_superficiel" localSheetId="3">#REF!</definedName>
    <definedName name="forfait_pac_superficiel" localSheetId="5">#REF!</definedName>
    <definedName name="forfait_pac_superficiel">#REF!</definedName>
    <definedName name="forfait_pac_usées" localSheetId="4">#REF!</definedName>
    <definedName name="forfait_pac_usées" localSheetId="9">#REF!</definedName>
    <definedName name="forfait_pac_usées" localSheetId="3">#REF!</definedName>
    <definedName name="forfait_pac_usées" localSheetId="5">#REF!</definedName>
    <definedName name="forfait_pac_usées">#REF!</definedName>
    <definedName name="forfait_reseau_1" localSheetId="4">#REF!</definedName>
    <definedName name="forfait_reseau_1" localSheetId="9">#REF!</definedName>
    <definedName name="forfait_reseau_1" localSheetId="3">#REF!</definedName>
    <definedName name="forfait_reseau_1" localSheetId="5">#REF!</definedName>
    <definedName name="forfait_reseau_1">#REF!</definedName>
    <definedName name="forfait_reseau_2" localSheetId="4">#REF!</definedName>
    <definedName name="forfait_reseau_2" localSheetId="9">#REF!</definedName>
    <definedName name="forfait_reseau_2" localSheetId="3">#REF!</definedName>
    <definedName name="forfait_reseau_2" localSheetId="5">#REF!</definedName>
    <definedName name="forfait_reseau_2">#REF!</definedName>
    <definedName name="forfait_reseau_3" localSheetId="4">#REF!</definedName>
    <definedName name="forfait_reseau_3" localSheetId="9">#REF!</definedName>
    <definedName name="forfait_reseau_3" localSheetId="3">#REF!</definedName>
    <definedName name="forfait_reseau_3" localSheetId="5">#REF!</definedName>
    <definedName name="forfait_reseau_3">#REF!</definedName>
    <definedName name="forfait_solaire_bat_exist_1" localSheetId="4">#REF!</definedName>
    <definedName name="forfait_solaire_bat_exist_1" localSheetId="9">#REF!</definedName>
    <definedName name="forfait_solaire_bat_exist_1" localSheetId="3">#REF!</definedName>
    <definedName name="forfait_solaire_bat_exist_1" localSheetId="5">#REF!</definedName>
    <definedName name="forfait_solaire_bat_exist_1">#REF!</definedName>
    <definedName name="forfait_solaire_bat_exist_2" localSheetId="4">#REF!</definedName>
    <definedName name="forfait_solaire_bat_exist_2" localSheetId="9">#REF!</definedName>
    <definedName name="forfait_solaire_bat_exist_2" localSheetId="3">#REF!</definedName>
    <definedName name="forfait_solaire_bat_exist_2" localSheetId="5">#REF!</definedName>
    <definedName name="forfait_solaire_bat_exist_2">#REF!</definedName>
    <definedName name="forfait_solaire_bat_neuf_1" localSheetId="4">#REF!</definedName>
    <definedName name="forfait_solaire_bat_neuf_1" localSheetId="9">#REF!</definedName>
    <definedName name="forfait_solaire_bat_neuf_1" localSheetId="3">#REF!</definedName>
    <definedName name="forfait_solaire_bat_neuf_1" localSheetId="5">#REF!</definedName>
    <definedName name="forfait_solaire_bat_neuf_1">#REF!</definedName>
    <definedName name="forfait_solaire_bat_neuf_2" localSheetId="4">#REF!</definedName>
    <definedName name="forfait_solaire_bat_neuf_2" localSheetId="9">#REF!</definedName>
    <definedName name="forfait_solaire_bat_neuf_2" localSheetId="3">#REF!</definedName>
    <definedName name="forfait_solaire_bat_neuf_2" localSheetId="5">#REF!</definedName>
    <definedName name="forfait_solaire_bat_neuf_2">#REF!</definedName>
    <definedName name="forfait_solaire_med_1" localSheetId="4">#REF!</definedName>
    <definedName name="forfait_solaire_med_1" localSheetId="9">#REF!</definedName>
    <definedName name="forfait_solaire_med_1" localSheetId="3">#REF!</definedName>
    <definedName name="forfait_solaire_med_1" localSheetId="5">#REF!</definedName>
    <definedName name="forfait_solaire_med_1">#REF!</definedName>
    <definedName name="forfait_solaire_med_2" localSheetId="4">#REF!</definedName>
    <definedName name="forfait_solaire_med_2" localSheetId="9">#REF!</definedName>
    <definedName name="forfait_solaire_med_2" localSheetId="3">#REF!</definedName>
    <definedName name="forfait_solaire_med_2" localSheetId="5">#REF!</definedName>
    <definedName name="forfait_solaire_med_2">#REF!</definedName>
    <definedName name="forfait_solaire_med_3" localSheetId="4">#REF!</definedName>
    <definedName name="forfait_solaire_med_3" localSheetId="9">#REF!</definedName>
    <definedName name="forfait_solaire_med_3" localSheetId="3">#REF!</definedName>
    <definedName name="forfait_solaire_med_3" localSheetId="5">#REF!</definedName>
    <definedName name="forfait_solaire_med_3">#REF!</definedName>
    <definedName name="forfait_solaire_nord_1" localSheetId="4">#REF!</definedName>
    <definedName name="forfait_solaire_nord_1" localSheetId="9">#REF!</definedName>
    <definedName name="forfait_solaire_nord_1" localSheetId="3">#REF!</definedName>
    <definedName name="forfait_solaire_nord_1" localSheetId="5">#REF!</definedName>
    <definedName name="forfait_solaire_nord_1">#REF!</definedName>
    <definedName name="forfait_solaire_nord_2" localSheetId="4">#REF!</definedName>
    <definedName name="forfait_solaire_nord_2" localSheetId="9">#REF!</definedName>
    <definedName name="forfait_solaire_nord_2" localSheetId="3">#REF!</definedName>
    <definedName name="forfait_solaire_nord_2" localSheetId="5">#REF!</definedName>
    <definedName name="forfait_solaire_nord_2">#REF!</definedName>
    <definedName name="forfait_solaire_nord_3" localSheetId="4">#REF!</definedName>
    <definedName name="forfait_solaire_nord_3" localSheetId="9">#REF!</definedName>
    <definedName name="forfait_solaire_nord_3" localSheetId="3">#REF!</definedName>
    <definedName name="forfait_solaire_nord_3" localSheetId="5">#REF!</definedName>
    <definedName name="forfait_solaire_nord_3">#REF!</definedName>
    <definedName name="forfait_solaire_sol" localSheetId="4">#REF!</definedName>
    <definedName name="forfait_solaire_sol" localSheetId="9">#REF!</definedName>
    <definedName name="forfait_solaire_sol" localSheetId="3">#REF!</definedName>
    <definedName name="forfait_solaire_sol" localSheetId="5">#REF!</definedName>
    <definedName name="forfait_solaire_sol">#REF!</definedName>
    <definedName name="forfait_solaire_sud_1" localSheetId="4">#REF!</definedName>
    <definedName name="forfait_solaire_sud_1" localSheetId="9">#REF!</definedName>
    <definedName name="forfait_solaire_sud_1" localSheetId="3">#REF!</definedName>
    <definedName name="forfait_solaire_sud_1" localSheetId="5">#REF!</definedName>
    <definedName name="forfait_solaire_sud_1">#REF!</definedName>
    <definedName name="forfait_solaire_sud_2" localSheetId="4">#REF!</definedName>
    <definedName name="forfait_solaire_sud_2" localSheetId="9">#REF!</definedName>
    <definedName name="forfait_solaire_sud_2" localSheetId="3">#REF!</definedName>
    <definedName name="forfait_solaire_sud_2" localSheetId="5">#REF!</definedName>
    <definedName name="forfait_solaire_sud_2">#REF!</definedName>
    <definedName name="forfait_solaire_sud_3" localSheetId="4">#REF!</definedName>
    <definedName name="forfait_solaire_sud_3" localSheetId="9">#REF!</definedName>
    <definedName name="forfait_solaire_sud_3" localSheetId="3">#REF!</definedName>
    <definedName name="forfait_solaire_sud_3" localSheetId="5">#REF!</definedName>
    <definedName name="forfait_solaire_sud_3">#REF!</definedName>
    <definedName name="forfait_solaire_toiture" localSheetId="4">#REF!</definedName>
    <definedName name="forfait_solaire_toiture" localSheetId="9">#REF!</definedName>
    <definedName name="forfait_solaire_toiture" localSheetId="3">#REF!</definedName>
    <definedName name="forfait_solaire_toiture" localSheetId="5">#REF!</definedName>
    <definedName name="forfait_solaire_toiture">#REF!</definedName>
    <definedName name="Fuel">'[4]PAC sur eaux usées'!$F$171</definedName>
    <definedName name="G_montant_des_depenses" localSheetId="4">'Fiche projet géothermie'!#REF!</definedName>
    <definedName name="G_montant_des_depenses" localSheetId="9">'Géothermie V2'!$G$149</definedName>
    <definedName name="G_montant_des_depenses" localSheetId="3">'Géothermie V3'!#REF!</definedName>
    <definedName name="G_montant_des_depenses">Géothermie!$G$149</definedName>
    <definedName name="G_montantdesdepenses" localSheetId="4">'Fiche projet géothermie'!#REF!</definedName>
    <definedName name="G_montantdesdepenses" localSheetId="9">'Géothermie V2'!$G$149</definedName>
    <definedName name="G_montantdesdepenses" localSheetId="3">'Géothermie V3'!#REF!</definedName>
    <definedName name="G_montantdesdepenses">Géothermie!$G$149</definedName>
    <definedName name="G_subventionADEME">'[8]Simulation FC'!$E$8</definedName>
    <definedName name="G_subventions" localSheetId="4">'Fiche projet géothermie'!$E$145</definedName>
    <definedName name="G_subventions" localSheetId="9">'Géothermie V2'!$E$204</definedName>
    <definedName name="G_subventions" localSheetId="3">'Géothermie V3'!$E$132</definedName>
    <definedName name="G_subventions">Géothermie!$E$204</definedName>
    <definedName name="garantie">'[2]paramètres entrée'!$E$2:$E$4</definedName>
    <definedName name="Gaz_nat">'[4]PAC sur eaux usées'!$F$170</definedName>
    <definedName name="heures_fonctio_min" localSheetId="4">#REF!</definedName>
    <definedName name="heures_fonctio_min" localSheetId="9">#REF!</definedName>
    <definedName name="heures_fonctio_min" localSheetId="3">#REF!</definedName>
    <definedName name="heures_fonctio_min" localSheetId="5">#REF!</definedName>
    <definedName name="heures_fonctio_min" localSheetId="15">#REF!</definedName>
    <definedName name="heures_fonctio_min">#REF!</definedName>
    <definedName name="Hospitalier">'PAC sur nappe'!$F$177</definedName>
    <definedName name="Hôtel">'PAC sur nappe'!$F$175</definedName>
    <definedName name="HTR" localSheetId="5">[5]List!$I$2</definedName>
    <definedName name="HTR">[6]List!$I$2</definedName>
    <definedName name="hydro_eauxusées">'menus geothermie'!$P$9</definedName>
    <definedName name="hydro_nappe">'menus geothermie'!$P$7</definedName>
    <definedName name="hydro_sondes">'menus geothermie'!$P$8</definedName>
    <definedName name="Industrie">'PAC sur nappe'!$F$178</definedName>
    <definedName name="ins_chauf_biomasse" localSheetId="5">[5]AF!$52:$77,[5]AF!$200:$200</definedName>
    <definedName name="ins_chauf_biomasse">[6]AF!$52:$77,[6]AF!$200:$200</definedName>
    <definedName name="ins_geothermie" localSheetId="5">[5]AF!$104:$129,[5]AF!$201:$201</definedName>
    <definedName name="ins_geothermie">[6]AF!$104:$129,[6]AF!$201:$201</definedName>
    <definedName name="ins_solaire" localSheetId="5">[5]AF!$78:$103,[5]AF!$27:$27</definedName>
    <definedName name="ins_solaire">[6]AF!$78:$103,[6]AF!$27:$27</definedName>
    <definedName name="intensité_prod_enrr_eco">[1]paramètres!$K$4:$O$16</definedName>
    <definedName name="intensité_prod_enrr_eco_b">[1]paramètres!$AA$4:$AE$16</definedName>
    <definedName name="intensité_prod_enrr_non_eco">[1]paramètres!$J$17:$N$20</definedName>
    <definedName name="liste_oui_non" localSheetId="4">'[7]Valeurs de reference'!#REF!</definedName>
    <definedName name="liste_oui_non" localSheetId="9">'[7]Valeurs de reference'!#REF!</definedName>
    <definedName name="liste_oui_non" localSheetId="3">'[7]Valeurs de reference'!#REF!</definedName>
    <definedName name="liste_oui_non" localSheetId="5">'[9]Valeurs de reference'!#REF!</definedName>
    <definedName name="liste_oui_non" localSheetId="15">'Valeurs de reference'!#REF!</definedName>
    <definedName name="liste_oui_non">'[7]Valeurs de reference'!#REF!</definedName>
    <definedName name="llongueur_reseau" localSheetId="4">#REF!</definedName>
    <definedName name="llongueur_reseau" localSheetId="9">#REF!</definedName>
    <definedName name="llongueur_reseau" localSheetId="3">#REF!</definedName>
    <definedName name="llongueur_reseau" localSheetId="5">'[3]Aide qualité'!#REF!</definedName>
    <definedName name="llongueur_reseau" localSheetId="15">'[7]Fiche de vérification'!#REF!</definedName>
    <definedName name="llongueur_reseau">#REF!</definedName>
    <definedName name="loc_solaire" localSheetId="5">[5]List!$D$2:$D$3</definedName>
    <definedName name="loc_solaire">[6]List!$D$2:$D$3</definedName>
    <definedName name="Logements">'PAC sur nappe'!$F$180</definedName>
    <definedName name="longueur_reseau" localSheetId="4">#REF!</definedName>
    <definedName name="longueur_reseau" localSheetId="9">#REF!</definedName>
    <definedName name="longueur_reseau" localSheetId="3">#REF!</definedName>
    <definedName name="longueur_reseau" localSheetId="5">'[3]Aide qualité'!$F$23</definedName>
    <definedName name="longueur_reseau" localSheetId="15">'[7]Fiche de vérification'!$F$23</definedName>
    <definedName name="longueur_reseau">#REF!</definedName>
    <definedName name="m_naturels" localSheetId="4">'Fiche projet géothermie'!#REF!</definedName>
    <definedName name="m_naturels">'Géothermie V3'!$B$84</definedName>
    <definedName name="mode_calcul_aide">RECAP!$I$17</definedName>
    <definedName name="montant_des_depenses">'exemple biomasse'!$G$149</definedName>
    <definedName name="mt_aide_ademe" localSheetId="5">[5]AF!$G$163</definedName>
    <definedName name="mt_aide_ademe">[6]AF!$G$163</definedName>
    <definedName name="mt_aide_ademe_region" localSheetId="5">[5]AF!$M$165</definedName>
    <definedName name="mt_aide_ademe_region">[6]AF!$M$165</definedName>
    <definedName name="mt_aide_anru" localSheetId="5">[5]AF!$M$168</definedName>
    <definedName name="mt_aide_anru">[6]AF!$M$168</definedName>
    <definedName name="mt_aide_autre_a" localSheetId="5">[5]AF!$M$179</definedName>
    <definedName name="mt_aide_autre_a">[6]AF!$M$179</definedName>
    <definedName name="mt_aide_autre0" localSheetId="5">[5]AF!$M$169</definedName>
    <definedName name="mt_aide_autre0">[6]AF!$M$169</definedName>
    <definedName name="mt_aide_autre1" localSheetId="5">[5]AF!$M$172</definedName>
    <definedName name="mt_aide_autre1">[6]AF!$M$172</definedName>
    <definedName name="mt_aide_autre2" localSheetId="5">[5]AF!$M$173</definedName>
    <definedName name="mt_aide_autre2">[6]AF!$M$173</definedName>
    <definedName name="mt_aide_autre3" localSheetId="5">[5]AF!$M$174</definedName>
    <definedName name="mt_aide_autre3">[6]AF!$M$174</definedName>
    <definedName name="mt_aide_cee" localSheetId="5">[5]AF!$M$171</definedName>
    <definedName name="mt_aide_cee">[6]AF!$M$171</definedName>
    <definedName name="mt_aide_credit_bail" localSheetId="5">[5]AF!$M$178</definedName>
    <definedName name="mt_aide_credit_bail">[6]AF!$M$178</definedName>
    <definedName name="mt_aide_emprunt" localSheetId="5">[5]AF!$M$177</definedName>
    <definedName name="mt_aide_emprunt">[6]AF!$M$177</definedName>
    <definedName name="mt_aide_etat" localSheetId="5">[5]AF!$M$166</definedName>
    <definedName name="mt_aide_etat">[6]AF!$M$166</definedName>
    <definedName name="mt_aide_feder" localSheetId="5">[5]AF!$M$167</definedName>
    <definedName name="mt_aide_feder">[6]AF!$M$167</definedName>
    <definedName name="mt_aide_fp" localSheetId="5">[5]AF!$M$176</definedName>
    <definedName name="mt_aide_fp">[6]AF!$M$176</definedName>
    <definedName name="mt_aide_region" localSheetId="5">[5]AF!$M$164</definedName>
    <definedName name="mt_aide_region">[6]AF!$M$164</definedName>
    <definedName name="mt_forfait_biomasse_b">[1]paramètres!$S$21:$T$25</definedName>
    <definedName name="mt_forfait_biomasse_r">[1]paramètres!$S$28:$T$32</definedName>
    <definedName name="nappe">'menus geothermie'!#REF!</definedName>
    <definedName name="nat_appoint">'exemple biomasse'!$B$133</definedName>
    <definedName name="nb_acc_grande" localSheetId="5">[5]AF!$I$46</definedName>
    <definedName name="nb_acc_grande">[6]AF!$I$46</definedName>
    <definedName name="nb_acc_moy" localSheetId="5">[5]AF!$I$45</definedName>
    <definedName name="nb_acc_moy">[6]AF!$I$45</definedName>
    <definedName name="nb_acc_neco" localSheetId="5">[5]AF!$I$43</definedName>
    <definedName name="nb_acc_neco">[6]AF!$I$43</definedName>
    <definedName name="nb_acc_petite" localSheetId="5">[5]AF!$I$44</definedName>
    <definedName name="nb_acc_petite">[6]AF!$I$44</definedName>
    <definedName name="nb_aide_privee" localSheetId="5">[5]AF!$I$195</definedName>
    <definedName name="nb_aide_privee">[6]AF!$I$195</definedName>
    <definedName name="nb_aide_publique" localSheetId="5">[5]AF!$I$190</definedName>
    <definedName name="nb_aide_publique">[6]AF!$I$190</definedName>
    <definedName name="nb_appoint">'exemple biomasse'!$F$132</definedName>
    <definedName name="nb_autofinancement" localSheetId="5">[5]AF!$I$205</definedName>
    <definedName name="nb_autofinancement">[6]AF!$I$205</definedName>
    <definedName name="nb_biomasse" localSheetId="5">[5]AF!$K$24</definedName>
    <definedName name="nb_biomasse">[6]AF!$K$24</definedName>
    <definedName name="nb_erreur" localSheetId="5">[5]AF!$P$1</definedName>
    <definedName name="nb_erreur">[6]AF!$P$1</definedName>
    <definedName name="nb_geothermie" localSheetId="5">[5]AF!$K$29</definedName>
    <definedName name="nb_geothermie">[6]AF!$K$29</definedName>
    <definedName name="nb_mode_vers_en_tete" localSheetId="5">[5]AF!$195:$196,[5]AF!$206:$207</definedName>
    <definedName name="nb_mode_vers_en_tete">[6]AF!$195:$196,[6]AF!$206:$207</definedName>
    <definedName name="nb_reseau" localSheetId="5">[5]AF!$K$31</definedName>
    <definedName name="nb_reseau">[6]AF!$K$31</definedName>
    <definedName name="nb_solaire" localSheetId="5">[5]AF!$K$26</definedName>
    <definedName name="nb_solaire">[6]AF!$K$26</definedName>
    <definedName name="nbr_h_fonctionnement">'PAC sur nappe'!$D$192</definedName>
    <definedName name="nom_MO" localSheetId="4">'Fiche projet géothermie'!$E$48</definedName>
    <definedName name="nom_MO">'Géothermie V3'!$F$46</definedName>
    <definedName name="nom_prj" localSheetId="4">'Fiche projet géothermie'!$G$22</definedName>
    <definedName name="nom_prj">'Géothermie V3'!$G$22</definedName>
    <definedName name="nom_prk" localSheetId="4">'Fiche projet géothermie'!$G$22</definedName>
    <definedName name="nom_prk">'Géothermie V3'!$G$22</definedName>
    <definedName name="nrj_appoint">'exemple biomasse'!$B$135</definedName>
    <definedName name="Pas_appoint">'[4]PAC sur champ de sondes'!$F$169</definedName>
    <definedName name="pf">'[2]paramètres entrée'!$A$2:$A$6</definedName>
    <definedName name="Piscine">'PAC sur nappe'!$F$183</definedName>
    <definedName name="plafond_accomp_projet" localSheetId="4">#REF!</definedName>
    <definedName name="plafond_accomp_projet" localSheetId="9">#REF!</definedName>
    <definedName name="plafond_accomp_projet" localSheetId="3">#REF!</definedName>
    <definedName name="plafond_accomp_projet" localSheetId="5">#REF!</definedName>
    <definedName name="plafond_accomp_projet">#REF!</definedName>
    <definedName name="plafond_diag" localSheetId="4">#REF!</definedName>
    <definedName name="plafond_diag" localSheetId="9">#REF!</definedName>
    <definedName name="plafond_diag" localSheetId="3">#REF!</definedName>
    <definedName name="plafond_diag" localSheetId="5">#REF!</definedName>
    <definedName name="plafond_diag">#REF!</definedName>
    <definedName name="_xlnm.Print_Area" localSheetId="13">'PAC sur nappe'!$C$1:$G$166</definedName>
    <definedName name="_xlnm.Print_Area" localSheetId="15">'Valeurs de reference'!$D$1:$G$58</definedName>
    <definedName name="prix_appoint">'exemple biomasse'!$B$137</definedName>
    <definedName name="Prod_biomasse" localSheetId="5">'[3]Fiche projet biomasse'!$G$122</definedName>
    <definedName name="Prod_biomasse">'exemple biomasse'!$G$120</definedName>
    <definedName name="prod_biomasse_r">RECAP!#REF!</definedName>
    <definedName name="production">'exemple biomasse'!$H$190</definedName>
    <definedName name="Projet">'PAC sur nappe'!$E$24</definedName>
    <definedName name="Propane">'[4]PAC sur eaux usées'!$F$172</definedName>
    <definedName name="Puiss_biomasse" localSheetId="5">'[3]Fiche projet biomasse'!$G$120</definedName>
    <definedName name="Puiss_biomasse">'exemple biomasse'!$G$118</definedName>
    <definedName name="Puiss_bois" localSheetId="4">#REF!</definedName>
    <definedName name="Puiss_bois" localSheetId="9">#REF!</definedName>
    <definedName name="Puiss_bois" localSheetId="3">#REF!</definedName>
    <definedName name="Puiss_bois" localSheetId="5">'[3]Aide qualité'!$F$17</definedName>
    <definedName name="Puiss_bois" localSheetId="15">'[7]Fiche de vérification'!$F$17</definedName>
    <definedName name="Puiss_bois">#REF!</definedName>
    <definedName name="Puiss_totale" localSheetId="4">#REF!</definedName>
    <definedName name="Puiss_totale" localSheetId="9">#REF!</definedName>
    <definedName name="Puiss_totale" localSheetId="3">#REF!</definedName>
    <definedName name="Puiss_totale" localSheetId="5">'[3]Aide qualité'!$F$16</definedName>
    <definedName name="Puiss_totale" localSheetId="15">'[7]Fiche de vérification'!$F$16</definedName>
    <definedName name="Puiss_totale">#REF!</definedName>
    <definedName name="puissance_appoint">'exemple biomasse'!$B$134</definedName>
    <definedName name="Puissance_biomasse">'[10]caractéristiques projet'!$D$19</definedName>
    <definedName name="ref">'[2]paramètres entrée'!$C$2:$C$7</definedName>
    <definedName name="Référence">'PAC sur nappe'!$F$44</definedName>
    <definedName name="rendement_echangeur">'PAC sur nappe'!$D$194</definedName>
    <definedName name="rendement_moteur">'PAC sur nappe'!$D$193</definedName>
    <definedName name="renov_rt_glob">'menus geothermie'!$R$7</definedName>
    <definedName name="rge_etudes">'Fiche projet géothermie'!$B$85</definedName>
    <definedName name="rge_forage">'Fiche projet géothermie'!#REF!</definedName>
    <definedName name="Salle">'PAC sur nappe'!$F$182</definedName>
    <definedName name="scop_chaud">'Fiche projet géothermie'!$G$153</definedName>
    <definedName name="scop_ecs">'Fiche projet géothermie'!$H$153</definedName>
    <definedName name="seer">'Fiche projet géothermie'!$I$153</definedName>
    <definedName name="seuil_forfait_biomasse_1" localSheetId="4">#REF!</definedName>
    <definedName name="seuil_forfait_biomasse_1" localSheetId="9">#REF!</definedName>
    <definedName name="seuil_forfait_biomasse_1" localSheetId="3">#REF!</definedName>
    <definedName name="seuil_forfait_biomasse_1" localSheetId="5">#REF!</definedName>
    <definedName name="seuil_forfait_biomasse_1">#REF!</definedName>
    <definedName name="seuil_forfait_biomasse_2" localSheetId="4">#REF!</definedName>
    <definedName name="seuil_forfait_biomasse_2" localSheetId="9">#REF!</definedName>
    <definedName name="seuil_forfait_biomasse_2" localSheetId="3">#REF!</definedName>
    <definedName name="seuil_forfait_biomasse_2" localSheetId="5">#REF!</definedName>
    <definedName name="seuil_forfait_biomasse_2">#REF!</definedName>
    <definedName name="seuil_forfait_biomasse_3" localSheetId="4">#REF!</definedName>
    <definedName name="seuil_forfait_biomasse_3" localSheetId="9">#REF!</definedName>
    <definedName name="seuil_forfait_biomasse_3" localSheetId="3">#REF!</definedName>
    <definedName name="seuil_forfait_biomasse_3" localSheetId="5">#REF!</definedName>
    <definedName name="seuil_forfait_biomasse_3">#REF!</definedName>
    <definedName name="seuil_forfait_solaire_1" localSheetId="4">#REF!</definedName>
    <definedName name="seuil_forfait_solaire_1" localSheetId="9">#REF!</definedName>
    <definedName name="seuil_forfait_solaire_1" localSheetId="3">#REF!</definedName>
    <definedName name="seuil_forfait_solaire_1" localSheetId="5">#REF!</definedName>
    <definedName name="seuil_forfait_solaire_1">#REF!</definedName>
    <definedName name="seuil_forfait_solaire_2" localSheetId="4">#REF!</definedName>
    <definedName name="seuil_forfait_solaire_2" localSheetId="9">#REF!</definedName>
    <definedName name="seuil_forfait_solaire_2" localSheetId="3">#REF!</definedName>
    <definedName name="seuil_forfait_solaire_2" localSheetId="5">#REF!</definedName>
    <definedName name="seuil_forfait_solaire_2">#REF!</definedName>
    <definedName name="seuil_mini_biomasse" localSheetId="4">#REF!</definedName>
    <definedName name="seuil_mini_biomasse" localSheetId="9">#REF!</definedName>
    <definedName name="seuil_mini_biomasse" localSheetId="3">#REF!</definedName>
    <definedName name="seuil_mini_biomasse" localSheetId="5">#REF!</definedName>
    <definedName name="seuil_mini_biomasse">#REF!</definedName>
    <definedName name="seuil_mini_solaire" localSheetId="4">#REF!</definedName>
    <definedName name="seuil_mini_solaire" localSheetId="9">#REF!</definedName>
    <definedName name="seuil_mini_solaire" localSheetId="3">#REF!</definedName>
    <definedName name="seuil_mini_solaire" localSheetId="5">#REF!</definedName>
    <definedName name="seuil_mini_solaire">#REF!</definedName>
    <definedName name="SHON">'PAC sur nappe'!$E$26</definedName>
    <definedName name="sondes">'menus geothermie'!#REF!</definedName>
    <definedName name="Sortie_immeuble">'[4]PAC sur eaux usées'!$C$179</definedName>
    <definedName name="sous_sol" localSheetId="4">'Fiche projet géothermie'!#REF!</definedName>
    <definedName name="sous_sol">'Géothermie V3'!$B$83</definedName>
    <definedName name="sub">'[8]Simulation FC'!$E$8</definedName>
    <definedName name="sub_ADEME">'[3]Simulation FC'!$E$24</definedName>
    <definedName name="subvention_ADEME" localSheetId="4">#REF!</definedName>
    <definedName name="subvention_ADEME" localSheetId="9">#REF!</definedName>
    <definedName name="subvention_ADEME" localSheetId="3">#REF!</definedName>
    <definedName name="subvention_ADEME" localSheetId="5">'[3]Simulation FC'!$E$8</definedName>
    <definedName name="subvention_ADEME">#REF!</definedName>
    <definedName name="subvention_ADEMEp">'[3]Simulation FC'!$E$8</definedName>
    <definedName name="subvention_ADEMEr" localSheetId="5">'[3]Simulation FC'!$E$17</definedName>
    <definedName name="subvention_ADEMEr">'A remplir - calcul aide'!$E$17</definedName>
    <definedName name="subventions" localSheetId="5">'[3]Fiche projet biomasse'!$E$234</definedName>
    <definedName name="subventions">'exemple biomasse'!$E$204</definedName>
    <definedName name="subventions_tot">'exemple biomasse'!$E$204</definedName>
    <definedName name="surface">'menus geothermie'!#REF!</definedName>
    <definedName name="technologie_geothermie" localSheetId="4">#REF!</definedName>
    <definedName name="technologie_geothermie" localSheetId="9">#REF!</definedName>
    <definedName name="technologie_geothermie" localSheetId="3">#REF!</definedName>
    <definedName name="technologie_geothermie" localSheetId="5">#REF!</definedName>
    <definedName name="technologie_geothermie">#REF!</definedName>
    <definedName name="Tertiaire">'PAC sur nappe'!$F$176</definedName>
    <definedName name="Texte4" localSheetId="12">'exemple biomasse'!#REF!</definedName>
    <definedName name="Texte5" localSheetId="12">'exemple biomasse'!#REF!</definedName>
    <definedName name="Texte7" localSheetId="12">'exemple biomasse'!#REF!</definedName>
    <definedName name="Texte8" localSheetId="12">'exemple biomasse'!#REF!</definedName>
    <definedName name="ThCEEX">'menus geothermie'!$T$8</definedName>
    <definedName name="total_depenses">'exemple biomasse'!$G$149</definedName>
    <definedName name="Tx_charge_min" localSheetId="4">#REF!</definedName>
    <definedName name="Tx_charge_min" localSheetId="9">#REF!</definedName>
    <definedName name="Tx_charge_min" localSheetId="3">#REF!</definedName>
    <definedName name="Tx_charge_min" localSheetId="5">#REF!</definedName>
    <definedName name="Tx_charge_min" localSheetId="15">#REF!</definedName>
    <definedName name="Tx_charge_min">#REF!</definedName>
    <definedName name="Tx_couverture_min" localSheetId="4">#REF!</definedName>
    <definedName name="Tx_couverture_min" localSheetId="9">#REF!</definedName>
    <definedName name="Tx_couverture_min" localSheetId="3">#REF!</definedName>
    <definedName name="Tx_couverture_min" localSheetId="5">#REF!</definedName>
    <definedName name="Tx_couverture_min" localSheetId="15">#REF!</definedName>
    <definedName name="Tx_couverture_min">#REF!</definedName>
    <definedName name="type" localSheetId="4">'Fiche projet géothermie'!#REF!</definedName>
    <definedName name="type" localSheetId="9">'Géothermie V2'!$G$28</definedName>
    <definedName name="type" localSheetId="3">'Géothermie V3'!#REF!</definedName>
    <definedName name="type">Géothermie!$G$28</definedName>
    <definedName name="Type_appoint">'PAC sur nappe'!$E$44</definedName>
    <definedName name="Type_bât">'PAC sur nappe'!$E$23</definedName>
    <definedName name="type_contrat" localSheetId="5">[5]List!$J$2:$J$3</definedName>
    <definedName name="type_contrat">[6]List!$J$2:$J$3</definedName>
    <definedName name="type_forfait_solaire_1" localSheetId="4">#REF!</definedName>
    <definedName name="type_forfait_solaire_1" localSheetId="9">#REF!</definedName>
    <definedName name="type_forfait_solaire_1" localSheetId="3">#REF!</definedName>
    <definedName name="type_forfait_solaire_1" localSheetId="5">#REF!</definedName>
    <definedName name="type_forfait_solaire_1">#REF!</definedName>
    <definedName name="type_forfait_solaire_2" localSheetId="4">#REF!</definedName>
    <definedName name="type_forfait_solaire_2" localSheetId="9">#REF!</definedName>
    <definedName name="type_forfait_solaire_2" localSheetId="3">#REF!</definedName>
    <definedName name="type_forfait_solaire_2" localSheetId="5">#REF!</definedName>
    <definedName name="type_forfait_solaire_2">#REF!</definedName>
    <definedName name="type_pac">'Fiche projet géothermie'!$G$145</definedName>
    <definedName name="Type_projet">'[10]caractéristiques projet'!$D$10</definedName>
    <definedName name="usage_biomasse" localSheetId="4">#REF!</definedName>
    <definedName name="usage_biomasse" localSheetId="9">#REF!</definedName>
    <definedName name="usage_biomasse" localSheetId="3">#REF!</definedName>
    <definedName name="usage_biomasse" localSheetId="5">#REF!</definedName>
    <definedName name="usage_biomasse">#REF!</definedName>
    <definedName name="usage_chaufferie_bois">RECAP!#REF!</definedName>
    <definedName name="usage_solaire" localSheetId="5">[5]List!$E$3:$E$6</definedName>
    <definedName name="usage_solaire">[6]List!$E$3:$E$6</definedName>
    <definedName name="usees">'menus geothermie'!#REF!</definedName>
    <definedName name="vol_total_silo" localSheetId="4">#REF!</definedName>
    <definedName name="vol_total_silo" localSheetId="9">#REF!</definedName>
    <definedName name="vol_total_silo" localSheetId="3">#REF!</definedName>
    <definedName name="vol_total_silo" localSheetId="5">'[3]Aide qualité'!$F$63</definedName>
    <definedName name="vol_total_silo" localSheetId="15">'[7]Fiche de vérification'!$F$63</definedName>
    <definedName name="vol_total_silo">#REF!</definedName>
    <definedName name="vol_utile_silo" localSheetId="4">#REF!</definedName>
    <definedName name="vol_utile_silo" localSheetId="9">#REF!</definedName>
    <definedName name="vol_utile_silo" localSheetId="3">#REF!</definedName>
    <definedName name="vol_utile_silo" localSheetId="5">'[3]Aide qualité'!$F$65</definedName>
    <definedName name="vol_utile_silo" localSheetId="15">'[7]Fiche de vérification'!$F$65</definedName>
    <definedName name="vol_utile_silo">#REF!</definedName>
    <definedName name="xx">'Fiche projet géothermie'!$I$149</definedName>
    <definedName name="zero">'exemple biomasse'!$O$1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7" i="41" l="1"/>
  <c r="G133" i="41"/>
  <c r="G132" i="41"/>
  <c r="G131" i="41"/>
  <c r="G119" i="41"/>
  <c r="G117" i="41"/>
  <c r="G114" i="41"/>
  <c r="F114" i="41" s="1"/>
  <c r="G113" i="41"/>
  <c r="G112" i="41"/>
  <c r="G111" i="41" s="1"/>
  <c r="G109" i="41"/>
  <c r="G107" i="41"/>
  <c r="G105" i="41"/>
  <c r="L149" i="41" l="1"/>
  <c r="G135" i="41"/>
  <c r="F235" i="41"/>
  <c r="H112" i="41"/>
  <c r="G118" i="41"/>
  <c r="G110" i="41"/>
  <c r="G108" i="41"/>
  <c r="G130" i="41"/>
  <c r="G134" i="41" s="1"/>
  <c r="H298" i="41" l="1"/>
  <c r="C82" i="41"/>
  <c r="H256" i="41"/>
  <c r="M136" i="41" l="1"/>
  <c r="F133" i="41"/>
  <c r="F132" i="41"/>
  <c r="L131" i="41"/>
  <c r="K131" i="41"/>
  <c r="J131" i="41"/>
  <c r="I131" i="41"/>
  <c r="H131" i="41"/>
  <c r="L130" i="41"/>
  <c r="K130" i="41"/>
  <c r="J130" i="41"/>
  <c r="I130" i="41"/>
  <c r="H130" i="41"/>
  <c r="M105" i="41"/>
  <c r="L105" i="41"/>
  <c r="K105" i="41"/>
  <c r="J105" i="41"/>
  <c r="I105" i="41"/>
  <c r="H105" i="41"/>
  <c r="D22" i="43"/>
  <c r="C84" i="41"/>
  <c r="D19" i="43"/>
  <c r="D20" i="43"/>
  <c r="B29" i="43"/>
  <c r="H274" i="41"/>
  <c r="H261" i="41"/>
  <c r="H267" i="41"/>
  <c r="H281" i="41"/>
  <c r="D31" i="43" s="1"/>
  <c r="F31" i="43"/>
  <c r="F27" i="43"/>
  <c r="B31" i="43"/>
  <c r="B30" i="43"/>
  <c r="J135" i="41" l="1"/>
  <c r="F131" i="41"/>
  <c r="F130" i="41"/>
  <c r="K135" i="41"/>
  <c r="I135" i="41"/>
  <c r="H135" i="41"/>
  <c r="L135" i="41"/>
  <c r="F29" i="43"/>
  <c r="H268" i="41"/>
  <c r="D29" i="43" s="1"/>
  <c r="H260" i="41"/>
  <c r="D27" i="43" s="1"/>
  <c r="H275" i="41"/>
  <c r="D25" i="43"/>
  <c r="D24" i="43"/>
  <c r="F134" i="41" l="1"/>
  <c r="F135" i="41" s="1"/>
  <c r="D23" i="43"/>
  <c r="D11" i="43" l="1"/>
  <c r="B15" i="43"/>
  <c r="C10" i="43"/>
  <c r="C15" i="43"/>
  <c r="C9" i="43"/>
  <c r="C8" i="43"/>
  <c r="B5" i="43"/>
  <c r="G16" i="43"/>
  <c r="B33" i="43"/>
  <c r="D33" i="43"/>
  <c r="K323" i="41"/>
  <c r="K322" i="41"/>
  <c r="K321" i="41"/>
  <c r="C31" i="30"/>
  <c r="D31" i="30" s="1"/>
  <c r="C30" i="30"/>
  <c r="D30" i="30" s="1"/>
  <c r="C29" i="30"/>
  <c r="D29" i="30" s="1"/>
  <c r="C28" i="30"/>
  <c r="D28" i="30" s="1"/>
  <c r="C27" i="30"/>
  <c r="D27" i="30" s="1"/>
  <c r="F112" i="41"/>
  <c r="F111" i="41"/>
  <c r="L316" i="41"/>
  <c r="I314" i="41"/>
  <c r="H314" i="41"/>
  <c r="G314" i="41"/>
  <c r="I313" i="41"/>
  <c r="H313" i="41"/>
  <c r="G313" i="41"/>
  <c r="H324" i="41" s="1"/>
  <c r="K324" i="41" s="1"/>
  <c r="J312" i="41"/>
  <c r="J309" i="41"/>
  <c r="H308" i="41"/>
  <c r="G308" i="41"/>
  <c r="I308" i="41" s="1"/>
  <c r="J308" i="41" s="1"/>
  <c r="H107" i="41"/>
  <c r="C85" i="41"/>
  <c r="C83" i="41"/>
  <c r="I158" i="41" l="1"/>
  <c r="K27" i="43"/>
  <c r="H325" i="41"/>
  <c r="K325" i="41" s="1"/>
  <c r="J313" i="41"/>
  <c r="E27" i="30"/>
  <c r="D32" i="30" l="1"/>
  <c r="F117" i="41"/>
  <c r="F118" i="41"/>
  <c r="F119" i="41"/>
  <c r="F120" i="41"/>
  <c r="F108" i="41"/>
  <c r="F109" i="41"/>
  <c r="F110" i="41"/>
  <c r="F113" i="41"/>
  <c r="J155" i="41" s="1"/>
  <c r="F115" i="41"/>
  <c r="F107" i="41"/>
  <c r="G158" i="41" l="1"/>
  <c r="G156" i="41" s="1"/>
  <c r="F106" i="41"/>
  <c r="I159" i="41"/>
  <c r="H264" i="41" l="1"/>
  <c r="H271" i="41"/>
  <c r="F32" i="43"/>
  <c r="D32" i="43"/>
  <c r="G154" i="41"/>
  <c r="G155" i="41" s="1"/>
  <c r="I154" i="41"/>
  <c r="I155" i="41" s="1"/>
  <c r="I156" i="41"/>
  <c r="H285" i="41" l="1"/>
  <c r="B13" i="43" s="1"/>
  <c r="F105" i="41"/>
  <c r="F243" i="41" l="1"/>
  <c r="H207" i="41"/>
  <c r="H189" i="41" l="1"/>
  <c r="I189" i="41" s="1"/>
  <c r="H255" i="41" l="1"/>
  <c r="D21" i="43" s="1"/>
  <c r="H28" i="41"/>
  <c r="H27" i="41"/>
  <c r="H259" i="41"/>
  <c r="H154" i="41"/>
  <c r="H155" i="41" s="1"/>
  <c r="J158" i="41" l="1"/>
  <c r="H158" i="41"/>
  <c r="G159" i="41" s="1"/>
  <c r="H307" i="41" s="1"/>
  <c r="I153" i="41" l="1"/>
  <c r="H284" i="41" s="1"/>
  <c r="B14" i="43" s="1"/>
  <c r="H283" i="41"/>
  <c r="G153" i="41"/>
  <c r="H156" i="41"/>
  <c r="H277" i="41" l="1"/>
  <c r="H270" i="41"/>
  <c r="F30" i="43"/>
  <c r="H269" i="41"/>
  <c r="H276" i="41"/>
  <c r="F28" i="43"/>
  <c r="K283" i="41"/>
  <c r="B12" i="43"/>
  <c r="F11" i="30"/>
  <c r="G11" i="30" s="1"/>
  <c r="H262" i="41"/>
  <c r="F8" i="30"/>
  <c r="G8" i="30" s="1"/>
  <c r="H263" i="41"/>
  <c r="D30" i="43" l="1"/>
  <c r="D28" i="43"/>
  <c r="M41" i="41"/>
  <c r="M40" i="41"/>
  <c r="M39" i="41"/>
  <c r="M38" i="41"/>
  <c r="M32" i="41"/>
  <c r="M31" i="41"/>
  <c r="M30" i="41"/>
  <c r="I30" i="41" l="1"/>
  <c r="I38" i="41"/>
  <c r="F10" i="30"/>
  <c r="G10" i="30" l="1"/>
  <c r="G12" i="30" s="1"/>
  <c r="K285" i="41"/>
  <c r="E34" i="30" l="1"/>
  <c r="E336" i="41" s="1"/>
  <c r="H278" i="41"/>
  <c r="F246" i="41"/>
  <c r="G173" i="41"/>
  <c r="G172" i="41"/>
  <c r="G171" i="41"/>
  <c r="I97" i="41"/>
  <c r="C59" i="41"/>
  <c r="G156" i="40"/>
  <c r="G155" i="40"/>
  <c r="G154" i="40"/>
  <c r="G153" i="40"/>
  <c r="C60" i="40"/>
  <c r="D86" i="40"/>
  <c r="D85" i="40"/>
  <c r="C80" i="40"/>
  <c r="C79" i="40"/>
  <c r="E335" i="41" l="1"/>
  <c r="E334" i="41" s="1"/>
  <c r="F334" i="41" s="1"/>
  <c r="F336" i="41"/>
  <c r="C17" i="43" s="1"/>
  <c r="B16" i="43"/>
  <c r="F337" i="41"/>
  <c r="F341" i="41"/>
  <c r="F340" i="41"/>
  <c r="F338" i="41"/>
  <c r="F339" i="41"/>
  <c r="F335" i="41" l="1"/>
  <c r="E342" i="41"/>
  <c r="E16" i="43" s="1"/>
  <c r="B5" i="40"/>
  <c r="B2" i="40"/>
  <c r="E303" i="40"/>
  <c r="H295" i="40"/>
  <c r="H277" i="40"/>
  <c r="H273" i="40"/>
  <c r="H264" i="40"/>
  <c r="F246" i="40"/>
  <c r="J136" i="40" l="1"/>
  <c r="K283" i="40" l="1"/>
  <c r="G106" i="40" l="1"/>
  <c r="F105" i="40"/>
  <c r="I98" i="40"/>
  <c r="I97" i="40"/>
  <c r="F308" i="40"/>
  <c r="F307" i="40"/>
  <c r="F306" i="40"/>
  <c r="F305" i="40"/>
  <c r="F304" i="40"/>
  <c r="E302" i="40"/>
  <c r="F301" i="40"/>
  <c r="K282" i="40"/>
  <c r="H26" i="40"/>
  <c r="F361" i="38"/>
  <c r="G346" i="38"/>
  <c r="F345" i="38"/>
  <c r="I339" i="38"/>
  <c r="I338" i="38"/>
  <c r="E309" i="40" l="1"/>
  <c r="F309" i="40" s="1"/>
  <c r="F302" i="40"/>
  <c r="F303" i="40"/>
  <c r="F436" i="38" l="1"/>
  <c r="F435" i="38"/>
  <c r="F434" i="38"/>
  <c r="F433" i="38"/>
  <c r="F432" i="38"/>
  <c r="E431" i="38"/>
  <c r="E430" i="38" s="1"/>
  <c r="F429" i="38"/>
  <c r="K423" i="38"/>
  <c r="B423" i="38"/>
  <c r="H421" i="38"/>
  <c r="K421" i="38" s="1"/>
  <c r="I420" i="38"/>
  <c r="H420" i="38" s="1"/>
  <c r="K420" i="38" s="1"/>
  <c r="K419" i="38"/>
  <c r="K417" i="38"/>
  <c r="K416" i="38"/>
  <c r="K415" i="38"/>
  <c r="K412" i="38"/>
  <c r="H170" i="38"/>
  <c r="H105" i="38"/>
  <c r="D77" i="38"/>
  <c r="D76" i="38"/>
  <c r="C72" i="38"/>
  <c r="C71" i="38"/>
  <c r="H23" i="38"/>
  <c r="B5" i="38"/>
  <c r="B2" i="38"/>
  <c r="M382" i="28"/>
  <c r="M383" i="28" s="1"/>
  <c r="M384" i="28" s="1"/>
  <c r="L382" i="28"/>
  <c r="L383" i="28" s="1"/>
  <c r="L384" i="28" s="1"/>
  <c r="K382" i="28"/>
  <c r="K383" i="28" s="1"/>
  <c r="K384" i="28" s="1"/>
  <c r="J382" i="28"/>
  <c r="J383" i="28" s="1"/>
  <c r="J384" i="28" s="1"/>
  <c r="I382" i="28"/>
  <c r="I383" i="28" s="1"/>
  <c r="I384" i="28" s="1"/>
  <c r="H382" i="28"/>
  <c r="H383" i="28" s="1"/>
  <c r="H384" i="28" s="1"/>
  <c r="G382" i="28"/>
  <c r="G383" i="28" s="1"/>
  <c r="G384" i="28" s="1"/>
  <c r="M381" i="28"/>
  <c r="L381" i="28"/>
  <c r="K381" i="28"/>
  <c r="J381" i="28"/>
  <c r="I381" i="28"/>
  <c r="H381" i="28"/>
  <c r="G381" i="28"/>
  <c r="F380" i="28"/>
  <c r="F379" i="28"/>
  <c r="F378" i="28"/>
  <c r="F377" i="28"/>
  <c r="F376" i="28"/>
  <c r="F375" i="28"/>
  <c r="F374" i="28"/>
  <c r="B373" i="28"/>
  <c r="G367" i="28"/>
  <c r="F366" i="28"/>
  <c r="M361" i="28"/>
  <c r="L361" i="28"/>
  <c r="K361" i="28"/>
  <c r="J361" i="28"/>
  <c r="I361" i="28"/>
  <c r="H361" i="28"/>
  <c r="G361" i="28"/>
  <c r="G362" i="28" s="1"/>
  <c r="G363" i="28" s="1"/>
  <c r="M360" i="28"/>
  <c r="M362" i="28" s="1"/>
  <c r="M363" i="28" s="1"/>
  <c r="L360" i="28"/>
  <c r="L362" i="28" s="1"/>
  <c r="L363" i="28" s="1"/>
  <c r="K360" i="28"/>
  <c r="K362" i="28" s="1"/>
  <c r="K363" i="28" s="1"/>
  <c r="J360" i="28"/>
  <c r="J362" i="28" s="1"/>
  <c r="J363" i="28" s="1"/>
  <c r="I360" i="28"/>
  <c r="I362" i="28" s="1"/>
  <c r="I363" i="28" s="1"/>
  <c r="H360" i="28"/>
  <c r="G360" i="28"/>
  <c r="F359" i="28"/>
  <c r="F358" i="28"/>
  <c r="F357" i="28"/>
  <c r="F356" i="28"/>
  <c r="F355" i="28"/>
  <c r="F354" i="28"/>
  <c r="F353" i="28"/>
  <c r="B352" i="28"/>
  <c r="G346" i="28"/>
  <c r="F345" i="28"/>
  <c r="I339" i="28"/>
  <c r="I338" i="28"/>
  <c r="F431" i="38" l="1"/>
  <c r="E437" i="38"/>
  <c r="F437" i="38" s="1"/>
  <c r="F430" i="38"/>
  <c r="F362" i="28"/>
  <c r="F363" i="28" s="1"/>
  <c r="F381" i="28"/>
  <c r="F360" i="28"/>
  <c r="H362" i="28"/>
  <c r="H363" i="28" s="1"/>
  <c r="F361" i="28"/>
  <c r="F382" i="28"/>
  <c r="F383" i="28"/>
  <c r="F384" i="28" s="1"/>
  <c r="F418" i="28" l="1"/>
  <c r="F417" i="28"/>
  <c r="F416" i="28"/>
  <c r="F415" i="28"/>
  <c r="F414" i="28"/>
  <c r="E413" i="28"/>
  <c r="F413" i="28" s="1"/>
  <c r="F411" i="28"/>
  <c r="K405" i="28"/>
  <c r="B405" i="28"/>
  <c r="H403" i="28"/>
  <c r="K403" i="28" s="1"/>
  <c r="I402" i="28"/>
  <c r="H402" i="28" s="1"/>
  <c r="K402" i="28" s="1"/>
  <c r="K401" i="28"/>
  <c r="K399" i="28"/>
  <c r="K398" i="28"/>
  <c r="K397" i="28"/>
  <c r="K394" i="28"/>
  <c r="E205" i="21"/>
  <c r="E204" i="21" s="1"/>
  <c r="K197" i="21"/>
  <c r="I194" i="21"/>
  <c r="H194" i="21" s="1"/>
  <c r="K194" i="21" s="1"/>
  <c r="K193" i="21"/>
  <c r="K191" i="21"/>
  <c r="K190" i="21"/>
  <c r="K189" i="21"/>
  <c r="K186" i="21"/>
  <c r="E412" i="28" l="1"/>
  <c r="E419" i="28" s="1"/>
  <c r="F419" i="28" s="1"/>
  <c r="E211" i="21"/>
  <c r="F204" i="21" s="1"/>
  <c r="F412" i="28" l="1"/>
  <c r="F208" i="21"/>
  <c r="F205" i="21"/>
  <c r="F207" i="21"/>
  <c r="F210" i="21"/>
  <c r="F206" i="21"/>
  <c r="F209" i="21"/>
  <c r="F203" i="21"/>
  <c r="E137" i="36" l="1"/>
  <c r="L134" i="36"/>
  <c r="E132" i="36"/>
  <c r="E129" i="36"/>
  <c r="E130" i="36" s="1"/>
  <c r="L128" i="36"/>
  <c r="L125" i="36"/>
  <c r="L126" i="36" s="1"/>
  <c r="G124" i="36"/>
  <c r="F105" i="36"/>
  <c r="E105" i="36"/>
  <c r="L104" i="36" s="1"/>
  <c r="F104" i="36"/>
  <c r="M103" i="36" s="1"/>
  <c r="E104" i="36"/>
  <c r="L103" i="36" s="1"/>
  <c r="I100" i="36"/>
  <c r="E100" i="36" s="1"/>
  <c r="G100" i="36" s="1"/>
  <c r="I99" i="36"/>
  <c r="E99" i="36" s="1"/>
  <c r="G99" i="36" s="1"/>
  <c r="F99" i="36"/>
  <c r="M98" i="36"/>
  <c r="L98" i="36"/>
  <c r="G90" i="36"/>
  <c r="F88" i="36"/>
  <c r="E84" i="36"/>
  <c r="G91" i="36" s="1"/>
  <c r="E71" i="36"/>
  <c r="E70" i="36"/>
  <c r="F65" i="36"/>
  <c r="G72" i="36" s="1"/>
  <c r="E60" i="36"/>
  <c r="E58" i="36"/>
  <c r="G56" i="36"/>
  <c r="E53" i="36"/>
  <c r="F51" i="36"/>
  <c r="G52" i="36" s="1"/>
  <c r="F46" i="36"/>
  <c r="F56" i="36" s="1"/>
  <c r="E46" i="36"/>
  <c r="E47" i="36" s="1"/>
  <c r="E95" i="36" s="1"/>
  <c r="G45" i="36"/>
  <c r="G44" i="36"/>
  <c r="E43" i="36"/>
  <c r="E59" i="36" s="1"/>
  <c r="E42" i="36"/>
  <c r="E40" i="36"/>
  <c r="E41" i="36" s="1"/>
  <c r="F38" i="36"/>
  <c r="G31" i="36"/>
  <c r="G29" i="36"/>
  <c r="G28" i="36"/>
  <c r="D76" i="28"/>
  <c r="D77" i="28"/>
  <c r="C71" i="28"/>
  <c r="C72" i="28"/>
  <c r="F53" i="36" l="1"/>
  <c r="F61" i="36" s="1"/>
  <c r="F57" i="36" s="1"/>
  <c r="E93" i="36"/>
  <c r="L110" i="36"/>
  <c r="L111" i="36" s="1"/>
  <c r="L130" i="36"/>
  <c r="F47" i="36"/>
  <c r="L122" i="36"/>
  <c r="E133" i="36"/>
  <c r="G133" i="36" s="1"/>
  <c r="F86" i="36"/>
  <c r="E54" i="36"/>
  <c r="E62" i="36" s="1"/>
  <c r="E78" i="36" s="1"/>
  <c r="F106" i="36"/>
  <c r="F117" i="36" s="1"/>
  <c r="L116" i="36"/>
  <c r="E117" i="36"/>
  <c r="E106" i="36"/>
  <c r="F95" i="36"/>
  <c r="F48" i="36"/>
  <c r="F42" i="36" s="1"/>
  <c r="M94" i="36"/>
  <c r="E61" i="36"/>
  <c r="E48" i="36"/>
  <c r="G65" i="36"/>
  <c r="E72" i="36"/>
  <c r="E73" i="36" s="1"/>
  <c r="E75" i="36"/>
  <c r="G75" i="36" s="1"/>
  <c r="L99" i="36"/>
  <c r="M104" i="36"/>
  <c r="M105" i="36" s="1"/>
  <c r="E111" i="36"/>
  <c r="E112" i="36" s="1"/>
  <c r="E123" i="36"/>
  <c r="E145" i="36"/>
  <c r="F71" i="36"/>
  <c r="F73" i="36" s="1"/>
  <c r="L94" i="36"/>
  <c r="L105" i="36"/>
  <c r="E82" i="36" l="1"/>
  <c r="L95" i="36" s="1"/>
  <c r="L97" i="36" s="1"/>
  <c r="E80" i="36"/>
  <c r="F80" i="36"/>
  <c r="F82" i="36"/>
  <c r="M116" i="36"/>
  <c r="L123" i="36"/>
  <c r="L121" i="36"/>
  <c r="L113" i="36"/>
  <c r="G62" i="36"/>
  <c r="L114" i="36"/>
  <c r="L112" i="36"/>
  <c r="E122" i="36"/>
  <c r="E124" i="36" s="1"/>
  <c r="E114" i="36"/>
  <c r="H62" i="36"/>
  <c r="E115" i="36"/>
  <c r="E113" i="36"/>
  <c r="F145" i="36"/>
  <c r="E96" i="36"/>
  <c r="E97" i="36" s="1"/>
  <c r="E98" i="36" l="1"/>
  <c r="G98" i="36" s="1"/>
  <c r="L96" i="36"/>
  <c r="L100" i="36" s="1"/>
  <c r="L107" i="36" s="1"/>
  <c r="E81" i="36"/>
  <c r="F96" i="36"/>
  <c r="F97" i="36" s="1"/>
  <c r="F101" i="36" s="1"/>
  <c r="M95" i="36"/>
  <c r="M96" i="36" s="1"/>
  <c r="M100" i="36" s="1"/>
  <c r="M117" i="36" s="1"/>
  <c r="E126" i="36"/>
  <c r="E79" i="36"/>
  <c r="E101" i="36" l="1"/>
  <c r="E118" i="36" s="1"/>
  <c r="L118" i="36"/>
  <c r="L106" i="36"/>
  <c r="L117" i="36"/>
  <c r="L131" i="36" s="1"/>
  <c r="L132" i="36" s="1"/>
  <c r="L101" i="36"/>
  <c r="M106" i="36"/>
  <c r="F107" i="36"/>
  <c r="F118" i="36"/>
  <c r="E107" i="36" l="1"/>
  <c r="E120" i="36" s="1"/>
  <c r="E108" i="36"/>
  <c r="L119" i="36"/>
  <c r="E102" i="36"/>
  <c r="E165" i="36" s="1"/>
  <c r="F165" i="36" s="1"/>
  <c r="E119" i="36"/>
  <c r="L108" i="36"/>
  <c r="E109" i="36"/>
  <c r="G102" i="36"/>
  <c r="L137" i="36"/>
  <c r="L138" i="36"/>
  <c r="E134" i="36"/>
  <c r="E135" i="36" s="1"/>
  <c r="G135" i="36" s="1"/>
  <c r="E161" i="36" l="1"/>
  <c r="F161" i="36" s="1"/>
  <c r="E154" i="36"/>
  <c r="F154" i="36" s="1"/>
  <c r="E156" i="36"/>
  <c r="F156" i="36" s="1"/>
  <c r="E164" i="36"/>
  <c r="F164" i="36" s="1"/>
  <c r="E148" i="36"/>
  <c r="F148" i="36" s="1"/>
  <c r="E151" i="36"/>
  <c r="F151" i="36" s="1"/>
  <c r="E153" i="36"/>
  <c r="F153" i="36" s="1"/>
  <c r="E146" i="36"/>
  <c r="F146" i="36" s="1"/>
  <c r="E162" i="36"/>
  <c r="F162" i="36" s="1"/>
  <c r="E159" i="36"/>
  <c r="F159" i="36" s="1"/>
  <c r="E140" i="36"/>
  <c r="G140" i="36" s="1"/>
  <c r="E150" i="36"/>
  <c r="F150" i="36" s="1"/>
  <c r="E158" i="36"/>
  <c r="F158" i="36" s="1"/>
  <c r="E147" i="36"/>
  <c r="F147" i="36" s="1"/>
  <c r="E155" i="36"/>
  <c r="F155" i="36" s="1"/>
  <c r="E163" i="36"/>
  <c r="F163" i="36" s="1"/>
  <c r="E141" i="36"/>
  <c r="G141" i="36" s="1"/>
  <c r="E152" i="36"/>
  <c r="F152" i="36" s="1"/>
  <c r="E160" i="36"/>
  <c r="F160" i="36" s="1"/>
  <c r="E149" i="36"/>
  <c r="F149" i="36" s="1"/>
  <c r="E157" i="36"/>
  <c r="F157" i="36" s="1"/>
  <c r="L136" i="36" l="1"/>
  <c r="E139" i="36"/>
  <c r="E138" i="36"/>
  <c r="G138" i="36" s="1"/>
  <c r="L135" i="36"/>
  <c r="H23" i="28" l="1"/>
  <c r="H170" i="28" l="1"/>
  <c r="H105" i="28"/>
  <c r="B5" i="28"/>
  <c r="B2" i="28"/>
  <c r="C172" i="21" l="1"/>
  <c r="B197" i="21" s="1"/>
  <c r="H105" i="21" l="1"/>
  <c r="I105" i="21"/>
  <c r="J105" i="21"/>
  <c r="K105" i="21"/>
  <c r="L105" i="21"/>
  <c r="M105" i="21"/>
  <c r="N105" i="21"/>
  <c r="O105" i="21"/>
  <c r="P105" i="21"/>
  <c r="Q105" i="21"/>
  <c r="R105" i="21"/>
  <c r="G105" i="21"/>
  <c r="H104" i="21"/>
  <c r="I104" i="21"/>
  <c r="J104" i="21"/>
  <c r="K104" i="21"/>
  <c r="L104" i="21"/>
  <c r="M104" i="21"/>
  <c r="N104" i="21"/>
  <c r="O104" i="21"/>
  <c r="P104" i="21"/>
  <c r="Q104" i="21"/>
  <c r="R104" i="21"/>
  <c r="G104" i="21"/>
  <c r="G85" i="21"/>
  <c r="H85" i="21"/>
  <c r="I85" i="21"/>
  <c r="J85" i="21"/>
  <c r="K85" i="21"/>
  <c r="L85" i="21"/>
  <c r="M85" i="21"/>
  <c r="N85" i="21"/>
  <c r="O85" i="21"/>
  <c r="P85" i="21"/>
  <c r="Q85" i="21"/>
  <c r="R85" i="21"/>
  <c r="G84" i="21"/>
  <c r="G86" i="21" s="1"/>
  <c r="G87" i="21" s="1"/>
  <c r="H84" i="21"/>
  <c r="H86" i="21" s="1"/>
  <c r="I84" i="21"/>
  <c r="J84" i="21"/>
  <c r="K84" i="21"/>
  <c r="L84" i="21"/>
  <c r="M84" i="21"/>
  <c r="N84" i="21"/>
  <c r="O84" i="21"/>
  <c r="P84" i="21"/>
  <c r="Q84" i="21"/>
  <c r="R84" i="21"/>
  <c r="F90" i="21"/>
  <c r="I106" i="21" l="1"/>
  <c r="G106" i="21"/>
  <c r="R106" i="21"/>
  <c r="Q106" i="21"/>
  <c r="P106" i="21"/>
  <c r="O106" i="21"/>
  <c r="N106" i="21"/>
  <c r="M106" i="21"/>
  <c r="L106" i="21"/>
  <c r="K106" i="21"/>
  <c r="J106" i="21"/>
  <c r="H106" i="21"/>
  <c r="F106" i="21" l="1"/>
  <c r="R107" i="21"/>
  <c r="Q107" i="21"/>
  <c r="P107" i="21"/>
  <c r="O107" i="21"/>
  <c r="N107" i="21"/>
  <c r="M107" i="21"/>
  <c r="L107" i="21"/>
  <c r="K107" i="21"/>
  <c r="J107" i="21"/>
  <c r="I107" i="21"/>
  <c r="H107" i="21"/>
  <c r="F105" i="21"/>
  <c r="G107" i="21"/>
  <c r="F85" i="21"/>
  <c r="L145" i="21"/>
  <c r="F149" i="21"/>
  <c r="F211" i="21" s="1"/>
  <c r="G142" i="21"/>
  <c r="G139" i="21" l="1"/>
  <c r="F24" i="26"/>
  <c r="F18" i="26"/>
  <c r="F17" i="26"/>
  <c r="F16" i="26"/>
  <c r="F15" i="26"/>
  <c r="F14" i="26"/>
  <c r="F13" i="26"/>
  <c r="AQ10" i="26"/>
  <c r="AO10" i="26"/>
  <c r="AM10" i="26"/>
  <c r="AK10" i="26"/>
  <c r="AQ9" i="26"/>
  <c r="AO9" i="26"/>
  <c r="AM9" i="26"/>
  <c r="AK9" i="26"/>
  <c r="AQ7" i="26"/>
  <c r="AO7" i="26"/>
  <c r="AM7" i="26"/>
  <c r="AK7" i="26"/>
  <c r="M142" i="21" l="1"/>
  <c r="G140" i="21"/>
  <c r="G144" i="21" l="1"/>
  <c r="G149" i="21" s="1"/>
  <c r="M143" i="21"/>
  <c r="M141" i="21"/>
  <c r="H123" i="21"/>
  <c r="G119" i="21"/>
  <c r="F77" i="21"/>
  <c r="H195" i="21" s="1"/>
  <c r="K195" i="21" s="1"/>
  <c r="F97" i="21"/>
  <c r="G117" i="21" s="1"/>
  <c r="H118" i="21" s="1"/>
  <c r="F100" i="21"/>
  <c r="G121" i="21" l="1"/>
  <c r="H119" i="21" s="1"/>
  <c r="H120" i="21"/>
  <c r="H117" i="21"/>
  <c r="H121" i="21"/>
  <c r="F98" i="21" l="1"/>
  <c r="H87" i="21"/>
  <c r="F83" i="21"/>
  <c r="F82" i="21"/>
  <c r="F81" i="21"/>
  <c r="F80" i="21"/>
  <c r="F79" i="21"/>
  <c r="F78" i="21"/>
  <c r="F103" i="21"/>
  <c r="F102" i="21"/>
  <c r="F101" i="21"/>
  <c r="F99" i="21"/>
  <c r="M86" i="21" l="1"/>
  <c r="M87" i="21" s="1"/>
  <c r="Q86" i="21"/>
  <c r="Q87" i="21" s="1"/>
  <c r="J86" i="21"/>
  <c r="J87" i="21" s="1"/>
  <c r="N86" i="21"/>
  <c r="N87" i="21" s="1"/>
  <c r="R86" i="21"/>
  <c r="R87" i="21" s="1"/>
  <c r="K86" i="21"/>
  <c r="K87" i="21" s="1"/>
  <c r="O86" i="21"/>
  <c r="O87" i="21" s="1"/>
  <c r="L86" i="21"/>
  <c r="L87" i="21" s="1"/>
  <c r="P86" i="21"/>
  <c r="P87" i="21" s="1"/>
  <c r="I86" i="21"/>
  <c r="F104" i="21"/>
  <c r="F84" i="21"/>
  <c r="B96" i="21"/>
  <c r="F107" i="21"/>
  <c r="H23" i="21"/>
  <c r="I87" i="21" l="1"/>
  <c r="I64" i="21"/>
  <c r="I63" i="21"/>
  <c r="B76" i="21"/>
  <c r="H27" i="21"/>
  <c r="M144" i="21" l="1"/>
  <c r="C176" i="21"/>
  <c r="F164" i="21"/>
  <c r="B5" i="21" l="1"/>
  <c r="B2" i="21"/>
  <c r="E169" i="21" l="1"/>
  <c r="D157" i="21"/>
  <c r="D162" i="21" s="1"/>
  <c r="C173" i="21"/>
  <c r="D168" i="21" l="1"/>
  <c r="C175" i="21" s="1"/>
  <c r="F166" i="21"/>
  <c r="F70" i="21"/>
  <c r="F86" i="21" l="1"/>
  <c r="F87" i="21" s="1"/>
  <c r="C174" i="21"/>
  <c r="C16" i="1" l="1"/>
  <c r="C17" i="1"/>
  <c r="C18" i="1"/>
  <c r="C19" i="1"/>
  <c r="E156" i="21" l="1"/>
  <c r="E167" i="21" l="1"/>
  <c r="E164" i="21"/>
  <c r="E166" i="21"/>
  <c r="E165" i="21"/>
  <c r="M140" i="21" l="1"/>
  <c r="M145" i="21" s="1"/>
  <c r="E168" i="21"/>
</calcChain>
</file>

<file path=xl/comments1.xml><?xml version="1.0" encoding="utf-8"?>
<comments xmlns="http://schemas.openxmlformats.org/spreadsheetml/2006/main">
  <authors>
    <author>VAYSSIE Fanny</author>
  </authors>
  <commentList>
    <comment ref="D8" authorId="0" shapeId="0">
      <text/>
    </comment>
  </commentList>
</comments>
</file>

<file path=xl/comments2.xml><?xml version="1.0" encoding="utf-8"?>
<comments xmlns="http://schemas.openxmlformats.org/spreadsheetml/2006/main">
  <authors>
    <author>VAYSSIE Fanny</author>
  </authors>
  <commentList>
    <comment ref="B36" authorId="0" shapeId="0">
      <text>
        <r>
          <rPr>
            <b/>
            <sz val="9"/>
            <color indexed="81"/>
            <rFont val="Tahoma"/>
            <family val="2"/>
          </rPr>
          <t>le cas échéant</t>
        </r>
      </text>
    </comment>
    <comment ref="B46" authorId="0" shapeId="0">
      <text>
        <r>
          <rPr>
            <b/>
            <sz val="9"/>
            <color indexed="81"/>
            <rFont val="Tahoma"/>
            <family val="2"/>
          </rPr>
          <t>Insérer des cellules si besoin (clic droit sur la colonne des lignes à gauche)</t>
        </r>
      </text>
    </comment>
    <comment ref="C47" authorId="0" shapeId="0">
      <text>
        <r>
          <rPr>
            <b/>
            <sz val="9"/>
            <color indexed="81"/>
            <rFont val="Tahoma"/>
            <family val="2"/>
          </rPr>
          <t>Présenter en une dizaine de lignes maximum le projet (afin d'avoir une vision globale):
- Contexte local
- Points forts/clefs 
- Poins faibles et réponses apportées</t>
        </r>
      </text>
    </comment>
    <comment ref="B84" authorId="0" shapeId="0">
      <text>
        <r>
          <rPr>
            <sz val="9"/>
            <color indexed="81"/>
            <rFont val="Marianne Light"/>
            <family val="3"/>
          </rPr>
          <t xml:space="preserve">Faire apparaitre les phases d’études, de travaux de reconnaissance, de travaux définitifs de forage (boucle primaire) et CVC. Préciser les travaux de reconnaissance qui ont été réalisés à la date du dépôt de dossier. </t>
        </r>
      </text>
    </comment>
    <comment ref="E182" authorId="0" shapeId="0">
      <text>
        <r>
          <rPr>
            <b/>
            <sz val="9"/>
            <color indexed="81"/>
            <rFont val="Tahoma"/>
            <family val="2"/>
          </rPr>
          <t xml:space="preserve">Production sortie PAC
</t>
        </r>
      </text>
    </comment>
    <comment ref="B252" authorId="0" shapeId="0">
      <text>
        <r>
          <rPr>
            <sz val="9"/>
            <color indexed="81"/>
            <rFont val="Marianne Light "/>
          </rPr>
          <t>Justifier le type de rejet ainsi retenu</t>
        </r>
      </text>
    </comment>
    <comment ref="B286" authorId="0" shapeId="0">
      <text>
        <r>
          <rPr>
            <sz val="9"/>
            <color indexed="81"/>
            <rFont val="Marianne Light"/>
            <family val="3"/>
          </rPr>
          <t>Distance totale cumulée si le réseau est décentralisé et alimente plusieurs PAC</t>
        </r>
      </text>
    </comment>
    <comment ref="B287" authorId="0" shapeId="0">
      <text>
        <r>
          <rPr>
            <sz val="9"/>
            <color indexed="81"/>
            <rFont val="Marianne Light"/>
            <family val="3"/>
          </rPr>
          <t>Distance totale cumulée si le réseau est centralisé et dessert plusieurs bâtiments</t>
        </r>
      </text>
    </comment>
    <comment ref="D289" authorId="0" shapeId="0">
      <text>
        <r>
          <rPr>
            <b/>
            <sz val="9"/>
            <color indexed="81"/>
            <rFont val="Tahoma"/>
            <family val="2"/>
          </rPr>
          <t xml:space="preserve">ou gaz si PAC gaz
</t>
        </r>
      </text>
    </comment>
    <comment ref="B336" authorId="0" shapeId="0">
      <text>
        <r>
          <rPr>
            <b/>
            <sz val="9"/>
            <color indexed="81"/>
            <rFont val="Tahoma"/>
            <family val="2"/>
          </rPr>
          <t>le tableau continue dans les cellules masquées si besoin</t>
        </r>
      </text>
    </comment>
    <comment ref="B363" authorId="0" shapeId="0">
      <text>
        <r>
          <rPr>
            <b/>
            <sz val="9"/>
            <color indexed="81"/>
            <rFont val="Tahoma"/>
            <family val="2"/>
          </rPr>
          <t>Calculée grâce aux données d'énergie thermiques consommées</t>
        </r>
      </text>
    </comment>
    <comment ref="B384" authorId="0" shapeId="0">
      <text>
        <r>
          <rPr>
            <b/>
            <sz val="9"/>
            <color indexed="81"/>
            <rFont val="Tahoma"/>
            <family val="2"/>
          </rPr>
          <t xml:space="preserve">Calculée grâce aux données des énergies thermiques consommées
</t>
        </r>
      </text>
    </comment>
    <comment ref="B394" authorId="0" shapeId="0">
      <text>
        <r>
          <rPr>
            <sz val="9"/>
            <color indexed="81"/>
            <rFont val="Marianne Light"/>
            <family val="3"/>
          </rPr>
          <t>Pour un projet bois CDENR, au moins un acteur RGE (ou équivalent en Bioénergie) devra intervenir sur le projet biomasse: 
- soit l'AMO
- soit le BE qui réalise l'ingénierie de conception, 
- soit le BE qui réalise l'ingénierie de réalisation, 
- soit l’installateur. 
Pour les équipements de moins de 70 kW, la qualification Qualibois de Qualit’EnR de l’installateur répond à ce critère.
La mention « Reconnu Garant de l’Environnement » (RGE) est un gage de qualité, il est souhaitable de s’adresser prioritairement aux entreprises qualifiées RGE ou équivalent.</t>
        </r>
        <r>
          <rPr>
            <b/>
            <sz val="9"/>
            <color indexed="81"/>
            <rFont val="Tahoma"/>
            <family val="2"/>
          </rPr>
          <t xml:space="preserve">
</t>
        </r>
      </text>
    </comment>
    <comment ref="I394" authorId="0" shapeId="0">
      <text>
        <r>
          <rPr>
            <b/>
            <sz val="9"/>
            <color indexed="81"/>
            <rFont val="Marianne Light"/>
            <family val="3"/>
          </rPr>
          <t>Nom du BE</t>
        </r>
      </text>
    </comment>
    <comment ref="B395" authorId="0" shapeId="0">
      <text>
        <r>
          <rPr>
            <sz val="9"/>
            <color indexed="81"/>
            <rFont val="Marianne Medium"/>
            <family val="3"/>
          </rPr>
          <t>Bâtiments neufs</t>
        </r>
        <r>
          <rPr>
            <sz val="9"/>
            <color indexed="81"/>
            <rFont val="Marianne Light"/>
            <family val="3"/>
          </rPr>
          <t xml:space="preserve">
Les projets soumis à la RT 2012 pour lesquels l'installation de "chaleur renouvelable" est nécessaire au respect de celle-ci ne sont pas éligibles au Fonds Chaleur.
Aussi, les bâtiments neufs soumis à la RT 2012 doivent avoir une consommation moyenne inférieure à ce qu’impose la RT 2012. L’étude réglementaire devra montrer un Cep(projet) &lt; Cep(max) - 15% ou le bureau d’études devra montrer par un double calcul que son projet respecte la RT 2012 sans recours aux énergies renouvelables (calcul à performance équivalente de besoins Bbio et avec une solution de référence hors EnR). 
Les bâtiments neufs non soumis à la RT doivent avoir des caractéristiques de bâtiment (huisserie, isolation, équipement technique, etc.) se rapprochant de la RT 2012.
</t>
        </r>
        <r>
          <rPr>
            <sz val="9"/>
            <color indexed="81"/>
            <rFont val="Marianne Medium"/>
            <family val="3"/>
          </rPr>
          <t>Bâtiments existants</t>
        </r>
        <r>
          <rPr>
            <sz val="9"/>
            <color indexed="81"/>
            <rFont val="Marianne Light"/>
            <family val="3"/>
          </rPr>
          <t xml:space="preserve">
Les bâtiments faisant l’objet d’une rénovation doivent respecter la RT en vigueur.
Sauf cas particuliers (bâtiments non soumis à l’étiquette DPE), les bâtiments existants ou rénovés devront attester d'une classe énergétique ≤  à la classe D, soit une consommation conventionnelle inférieure à une valeur de 230 kWhep/m2.an pour le logement. La justification se fera à partir de la méthode DPE. </t>
        </r>
        <r>
          <rPr>
            <b/>
            <sz val="9"/>
            <color indexed="81"/>
            <rFont val="Tahoma"/>
            <family val="2"/>
          </rPr>
          <t xml:space="preserve">
</t>
        </r>
      </text>
    </comment>
    <comment ref="I395" authorId="0" shapeId="0">
      <text>
        <r>
          <rPr>
            <b/>
            <sz val="9"/>
            <color indexed="81"/>
            <rFont val="Marianne Light"/>
            <family val="3"/>
          </rPr>
          <t>Calcul du Cep</t>
        </r>
      </text>
    </comment>
    <comment ref="B399" authorId="0" shapeId="0">
      <text>
        <r>
          <rPr>
            <sz val="9"/>
            <color indexed="81"/>
            <rFont val="Marianne Light"/>
            <family val="3"/>
          </rPr>
          <t>Le bénéficiaire a prévu de mettre en place une instrumentation destinée à assurer le suivi du fonctionnement et des performances des installations pendant toute la durée de leur exploitation. Il en assurera obligatoirement les frais d’entretien et s’assurera de la validité des données mesurées.
Cette instrumentation devra être suffisante pour permettre la mesure de la quantité de chaleur Enr&amp;R injecté dans le réseau/ à la quantité totale de chaleur injectée (Pour mémoire, outre le comptage de production, le comptage d’énergie à chaque point de livraison est obligatoire : article 86 de la loi 2010-790 du grenelle 2).</t>
        </r>
        <r>
          <rPr>
            <sz val="9"/>
            <color indexed="81"/>
            <rFont val="Tahoma"/>
            <family val="2"/>
          </rPr>
          <t xml:space="preserve">
</t>
        </r>
      </text>
    </comment>
    <comment ref="B402" authorId="0" shapeId="0">
      <text>
        <r>
          <rPr>
            <sz val="9"/>
            <color indexed="81"/>
            <rFont val="Marianne Light"/>
            <family val="3"/>
          </rPr>
          <t>La chaudière biomasse mise en place est référencée dans la « base de données des chaudières petites et moyennes puissances éligibles au Fonds Chaleur » (lien cliquable BDD).  
Pour les projets de plus de 1200 MWh, parmi cette base, le maitre d’ouvrage devra retenir les installations dont les émissions de poussières respectent les critères d’éligibilité suivants : 45 mg/Nm3 à 6%O2 hors zone PPA et 30 mg/Nm3 à 6% d’O2 en zone PPA. 
En cas de recours à un système de dépoussiérage performant des fumées (à préciser), la valeur maximale d’émissions de poussières atteinte par l’installation devra être inférieure ou égale aux valeurs ci-dessus.</t>
        </r>
        <r>
          <rPr>
            <b/>
            <sz val="9"/>
            <color indexed="81"/>
            <rFont val="Tahoma"/>
            <family val="2"/>
          </rPr>
          <t xml:space="preserve">
</t>
        </r>
      </text>
    </comment>
    <comment ref="B403" authorId="0" shapeId="0">
      <text>
        <r>
          <rPr>
            <sz val="9"/>
            <color indexed="81"/>
            <rFont val="Marianne Light"/>
            <family val="3"/>
          </rPr>
          <t xml:space="preserve">Pour les NOx, le projet doit respecter les contraintes réglementaires nationales et/ou locales. 
</t>
        </r>
        <r>
          <rPr>
            <b/>
            <sz val="9"/>
            <color indexed="81"/>
            <rFont val="Marianne Light"/>
            <family val="3"/>
          </rPr>
          <t xml:space="preserve">
L’ADEME recommande d’anticiper les évolutions réglementaires et de respecter:</t>
        </r>
        <r>
          <rPr>
            <sz val="9"/>
            <color indexed="81"/>
            <rFont val="Marianne Light"/>
            <family val="3"/>
          </rPr>
          <t xml:space="preserve">
- un niveau de performance inférieur à 300 mg/Nm3 à 6% O2, atteignable avec les technologies disponibles sur le marché, pour les installations supérieures à 5MW ou situées en zone PPA.
- un niveau de performance inférieur à 500 mg/Nm3 à 6% O2, atteignable avec les technologies disponibles sur le marché, pour les installations inférieures ou égales à 5MW.
</t>
        </r>
      </text>
    </comment>
    <comment ref="B413" authorId="0" shapeId="0">
      <text>
        <r>
          <rPr>
            <sz val="14"/>
            <color indexed="81"/>
            <rFont val="Tahoma"/>
            <family val="2"/>
          </rPr>
          <t>Non compatible avec les aides CEE</t>
        </r>
      </text>
    </comment>
  </commentList>
</comments>
</file>

<file path=xl/comments3.xml><?xml version="1.0" encoding="utf-8"?>
<comments xmlns="http://schemas.openxmlformats.org/spreadsheetml/2006/main">
  <authors>
    <author>VAYSSIE Fanny</author>
  </authors>
  <commentList>
    <comment ref="B15" authorId="0" shapeId="0">
      <text>
        <r>
          <rPr>
            <sz val="9"/>
            <color indexed="81"/>
            <rFont val="Marianne Light"/>
            <family val="3"/>
          </rPr>
          <t>HTR = Hors TVA récupérable auprès du Trésor Public ou du Fonds de compensation de la TVA.</t>
        </r>
      </text>
    </comment>
    <comment ref="B29" authorId="0" shapeId="0">
      <text>
        <r>
          <rPr>
            <b/>
            <sz val="12"/>
            <color indexed="81"/>
            <rFont val="Tahoma"/>
            <family val="2"/>
          </rPr>
          <t>Ne cocher qu'une case</t>
        </r>
      </text>
    </comment>
    <comment ref="B63" authorId="0" shapeId="0">
      <text>
        <r>
          <rPr>
            <sz val="9"/>
            <color indexed="81"/>
            <rFont val="Marianne Light"/>
            <family val="3"/>
          </rPr>
          <t xml:space="preserve">Faire apparaitre les phases d’études, de travaux de reconnaissance, de travaux définitifs de forage (boucle primaire) et CVC. Préciser les travaux de reconnaissance qui ont été réalisés à la date du dépôt de dossier. </t>
        </r>
      </text>
    </comment>
    <comment ref="B77" authorId="0" shapeId="0">
      <text>
        <r>
          <rPr>
            <b/>
            <sz val="11"/>
            <color indexed="81"/>
            <rFont val="Tahoma"/>
            <family val="2"/>
          </rPr>
          <t>Si la case est vide, non concerné</t>
        </r>
        <r>
          <rPr>
            <b/>
            <sz val="9"/>
            <color indexed="81"/>
            <rFont val="Tahoma"/>
            <family val="2"/>
          </rPr>
          <t xml:space="preserve">
</t>
        </r>
      </text>
    </comment>
    <comment ref="C79" authorId="0" shapeId="0">
      <text>
        <r>
          <rPr>
            <b/>
            <sz val="12"/>
            <color indexed="81"/>
            <rFont val="Tahoma"/>
            <family val="2"/>
          </rPr>
          <t>La liste et la carte des foreurs adhérant à Qualiforage sont disponibles sur le site : www.geothermie-perspectives.fr</t>
        </r>
      </text>
    </comment>
    <comment ref="B95" authorId="0" shapeId="0">
      <text>
        <r>
          <rPr>
            <b/>
            <sz val="9"/>
            <color indexed="81"/>
            <rFont val="Tahoma"/>
            <family val="2"/>
          </rPr>
          <t>le tableau continue dans les cellules masquées si besoin</t>
        </r>
      </text>
    </comment>
    <comment ref="B111" authorId="0" shapeId="0">
      <text>
        <r>
          <rPr>
            <b/>
            <sz val="9"/>
            <color indexed="81"/>
            <rFont val="Tahoma"/>
            <family val="2"/>
          </rPr>
          <t>Puissance à installer</t>
        </r>
      </text>
    </comment>
    <comment ref="B123" authorId="0" shapeId="0">
      <text>
        <r>
          <rPr>
            <b/>
            <sz val="9"/>
            <color indexed="81"/>
            <rFont val="Tahoma"/>
            <family val="2"/>
          </rPr>
          <t xml:space="preserve">Si bâtiment collectif alors la classe énergétique doit être inférieure ou égale à C.
Si bâtiment tertiaire soumis au décrêt n°2017-918 du 9 mai 2017, alors la classe énergétique doit être inférieure ou égale à C.
Si bâtiment tertiaire NON soumis au décrêt n°2017-918 du 9 mai 2017, alors la classe énergétique doit être inférieure ou égale à D.
</t>
        </r>
      </text>
    </comment>
    <comment ref="I130" authorId="0" shapeId="0">
      <text>
        <r>
          <rPr>
            <b/>
            <sz val="9"/>
            <color indexed="81"/>
            <rFont val="Tahoma"/>
            <family val="2"/>
          </rPr>
          <t>Froid : En cas de Géocooling, l’indiquer clairement</t>
        </r>
      </text>
    </comment>
    <comment ref="B135" authorId="0" shapeId="0">
      <text>
        <r>
          <rPr>
            <b/>
            <sz val="9"/>
            <color indexed="81"/>
            <rFont val="Tahoma"/>
            <family val="2"/>
          </rPr>
          <t xml:space="preserve">Pour les PAC géothermiques sur sondes : régimes de température 0/-3°C et 30/35°C
Pour les PAC géothermiques sur nappe : régimes de température 10/7°C et 30/35°C
</t>
        </r>
      </text>
    </comment>
    <comment ref="B136" authorId="0" shapeId="0">
      <text>
        <r>
          <rPr>
            <b/>
            <sz val="9"/>
            <color indexed="81"/>
            <rFont val="Tahoma"/>
            <family val="2"/>
          </rPr>
          <t>EER : Energy Efficency Ratio (Coefficient d’Efficacité Energétique) ou COP en mode froid</t>
        </r>
      </text>
    </comment>
    <comment ref="B170" authorId="0" shapeId="0">
      <text>
        <r>
          <rPr>
            <sz val="9"/>
            <color indexed="81"/>
            <rFont val="Marianne Light "/>
          </rPr>
          <t>Justifier le type de rejet ainsi retenu</t>
        </r>
      </text>
    </comment>
    <comment ref="B203" authorId="0" shapeId="0">
      <text>
        <r>
          <rPr>
            <sz val="9"/>
            <color indexed="81"/>
            <rFont val="Marianne Light"/>
            <family val="3"/>
          </rPr>
          <t>Distance totale cumulée si le réseau est décentralisé et alimente plusieurs PAC</t>
        </r>
      </text>
    </comment>
    <comment ref="B205" authorId="0" shapeId="0">
      <text>
        <r>
          <rPr>
            <sz val="9"/>
            <color indexed="81"/>
            <rFont val="Marianne Light"/>
            <family val="3"/>
          </rPr>
          <t>Distance totale cumulée si le réseau est centralisé et dessert plusieurs bâtiments</t>
        </r>
      </text>
    </comment>
    <comment ref="D212" authorId="0" shapeId="0">
      <text>
        <r>
          <rPr>
            <b/>
            <sz val="9"/>
            <color indexed="81"/>
            <rFont val="Tahoma"/>
            <family val="2"/>
          </rPr>
          <t xml:space="preserve">ou gaz si PAC gaz
</t>
        </r>
      </text>
    </comment>
    <comment ref="B214" authorId="0" shapeId="0">
      <text>
        <r>
          <rPr>
            <b/>
            <sz val="12"/>
            <color indexed="81"/>
            <rFont val="Tahoma"/>
            <family val="2"/>
          </rPr>
          <t>Doit être prévu dans toutes les installations</t>
        </r>
      </text>
    </comment>
    <comment ref="B231" authorId="0" shapeId="0">
      <text>
        <r>
          <rPr>
            <sz val="9"/>
            <color indexed="81"/>
            <rFont val="Marianne Light"/>
            <family val="3"/>
          </rPr>
          <t>HTR = Hors TVA récupérable auprès du Trésor Public ou du Fonds de compensation de la TVA.</t>
        </r>
      </text>
    </comment>
    <comment ref="B256" authorId="0" shapeId="0">
      <text>
        <r>
          <rPr>
            <sz val="9"/>
            <color indexed="81"/>
            <rFont val="Marianne Light"/>
            <family val="3"/>
          </rPr>
          <t>Pour les opérations de géothermie sur nappe, les études d’ingénierie devront être confiées à un BET thermique/fluides et à un hydrogéologue. 
Pour toutes les opérations de géothermie assistée par PAC (hors projets sur eaux de surface et eaux usées), au moins un acteur RGE (Reconnu Garant de l’Environnement) devra intervenir sur le projet : soit le bureau d’étude qui réalise l’ingénierie de conception (OPQIBI 20.13 ou qualification équivalente), soit le bureau d’études qui réalise l’ingénierie de réalisation (OPQIBI 20.13 ou qualification équivalente), soit le BE qui réalise l’étude des ressources géothermiques (OPQIBI 10.07 ou qualification équivalente). 
La mention « Reconnu Garant de l’Environnement » (RGE) est un gage de qualité, il est souhaitable de s’adresser prioritairement aux entreprises qualifiées RGE ou équivalent.</t>
        </r>
        <r>
          <rPr>
            <b/>
            <sz val="9"/>
            <color indexed="81"/>
            <rFont val="Tahoma"/>
            <family val="2"/>
          </rPr>
          <t xml:space="preserve">
</t>
        </r>
      </text>
    </comment>
    <comment ref="I256" authorId="0" shapeId="0">
      <text>
        <r>
          <rPr>
            <b/>
            <sz val="9"/>
            <color indexed="81"/>
            <rFont val="Marianne Light"/>
            <family val="3"/>
          </rPr>
          <t>Nom du BE</t>
        </r>
      </text>
    </comment>
    <comment ref="B257" authorId="0" shapeId="0">
      <text>
        <r>
          <rPr>
            <sz val="9"/>
            <color indexed="81"/>
            <rFont val="Marianne Medium"/>
            <family val="3"/>
          </rPr>
          <t>Bâtiments neufs</t>
        </r>
        <r>
          <rPr>
            <sz val="9"/>
            <color indexed="81"/>
            <rFont val="Marianne Light"/>
            <family val="3"/>
          </rPr>
          <t xml:space="preserve">
Les projets soumis à la RT 2012 pour lesquels l'installation de "chaleur renouvelable" est nécessaire au respect de celle-ci ne sont pas éligibles au Fonds Chaleur.
Aussi, les bâtiments neufs soumis à la RT 2012 doivent avoir une consommation moyenne inférieure à ce qu’impose la RT 2012. L’étude réglementaire devra montrer un Cep(projet) &lt; Cep(max) - 15% ou le bureau d’études devra montrer par un double calcul que son projet respecte la RT 2012 sans recours aux énergies renouvelables (calcul à performance équivalente de besoins Bbio et avec une solution de référence hors EnR). 
Les bâtiments neufs non soumis à la RT doivent avoir des caractéristiques de bâtiment (huisserie, isolation, équipement technique, etc.) se rapprochant de la RT 2012.
</t>
        </r>
        <r>
          <rPr>
            <sz val="9"/>
            <color indexed="81"/>
            <rFont val="Marianne Medium"/>
            <family val="3"/>
          </rPr>
          <t>Bâtiments existants</t>
        </r>
        <r>
          <rPr>
            <sz val="9"/>
            <color indexed="81"/>
            <rFont val="Marianne Light"/>
            <family val="3"/>
          </rPr>
          <t xml:space="preserve">
Les bâtiments faisant l’objet d’une rénovation doivent respecter la RT en vigueur.
Sauf cas particuliers (bâtiments non soumis à l’étiquette DPE), les bâtiments existants ou rénovés devront attester d'une classe énergétique ≤  à la classe D, soit une consommation conventionnelle inférieure à une valeur de 230 kWhep/m2.an pour le logement. La justification se fera à partir de la méthode DPE. </t>
        </r>
        <r>
          <rPr>
            <b/>
            <sz val="9"/>
            <color indexed="81"/>
            <rFont val="Tahoma"/>
            <family val="2"/>
          </rPr>
          <t xml:space="preserve">
</t>
        </r>
      </text>
    </comment>
    <comment ref="B269" authorId="0" shapeId="0">
      <text>
        <r>
          <rPr>
            <sz val="11"/>
            <color indexed="81"/>
            <rFont val="Calibri Light"/>
            <family val="2"/>
            <scheme val="major"/>
          </rPr>
          <t xml:space="preserve">Pour un projet de PAC sur nappe, </t>
        </r>
        <r>
          <rPr>
            <b/>
            <sz val="11"/>
            <color indexed="81"/>
            <rFont val="Calibri Light"/>
            <family val="2"/>
            <scheme val="major"/>
          </rPr>
          <t xml:space="preserve">le maître d’ouvrage peut s’il le souhaite, souscrire à la garantie AQUAPAC, </t>
        </r>
        <r>
          <rPr>
            <sz val="11"/>
            <color indexed="81"/>
            <rFont val="Calibri Light"/>
            <family val="2"/>
            <scheme val="major"/>
          </rPr>
          <t xml:space="preserve">dispositif géré par la SAF environnement. Cette assurance couvre les </t>
        </r>
        <r>
          <rPr>
            <b/>
            <sz val="11"/>
            <color indexed="81"/>
            <rFont val="Calibri Light"/>
            <family val="2"/>
            <scheme val="major"/>
          </rPr>
          <t>risques géologiques liés à la possibilité d’exploitation énergétique d’une ressource aquifère</t>
        </r>
        <r>
          <rPr>
            <sz val="11"/>
            <color indexed="81"/>
            <rFont val="Calibri Light"/>
            <family val="2"/>
            <scheme val="major"/>
          </rPr>
          <t xml:space="preserve"> puis au maintien de ses capacités dans le temps (en général ressource à moins de 100 m de profondeur et pompe à chaleur d’une puissance thermique supérieure à 30 kW). Elle offre une double garantie :
- </t>
        </r>
        <r>
          <rPr>
            <b/>
            <sz val="11"/>
            <color indexed="81"/>
            <rFont val="Calibri Light"/>
            <family val="2"/>
            <scheme val="major"/>
          </rPr>
          <t>La garantie de recherche</t>
        </r>
        <r>
          <rPr>
            <sz val="11"/>
            <color indexed="81"/>
            <rFont val="Calibri Light"/>
            <family val="2"/>
            <scheme val="major"/>
          </rPr>
          <t xml:space="preserve">, qui couvre le risque d’échec consécutif à la découverte d’une ressource en eau souterraine insuffisante pour le fonctionnement des installations tel qu’il avait été prévu,
- </t>
        </r>
        <r>
          <rPr>
            <b/>
            <sz val="11"/>
            <color indexed="81"/>
            <rFont val="Calibri Light"/>
            <family val="2"/>
            <scheme val="major"/>
          </rPr>
          <t>La garantie de pérennité</t>
        </r>
        <r>
          <rPr>
            <sz val="11"/>
            <color indexed="81"/>
            <rFont val="Calibri Light"/>
            <family val="2"/>
            <scheme val="major"/>
          </rPr>
          <t xml:space="preserve"> couvre le risque de diminution ou de détérioration de la ressource, en cours d’exploitation.  </t>
        </r>
      </text>
    </comment>
    <comment ref="B278" authorId="0" shapeId="0">
      <text>
        <r>
          <rPr>
            <b/>
            <sz val="9"/>
            <color indexed="81"/>
            <rFont val="Tahoma"/>
            <family val="2"/>
          </rPr>
          <t xml:space="preserve">Le principe est d’accompagner les opérations de pompes à chaleur géothermiques assurant des besoins en chaud et en froid avec, pour la production de froid une priorité de fonctionnement de l’installation donnée au rafraîchissement direct par géocooling. </t>
        </r>
      </text>
    </comment>
    <comment ref="B280" authorId="0" shapeId="0">
      <text>
        <r>
          <rPr>
            <b/>
            <sz val="9"/>
            <color indexed="81"/>
            <rFont val="Tahoma"/>
            <family val="2"/>
          </rPr>
          <t>MWh rafraîchissement annuels produit / MWh électrique annuels consommés.</t>
        </r>
      </text>
    </comment>
    <comment ref="B282" authorId="0" shapeId="0">
      <text>
        <r>
          <rPr>
            <sz val="10"/>
            <color indexed="81"/>
            <rFont val="Tahoma"/>
            <family val="2"/>
          </rPr>
          <t>Cette valeur constituera la référence pour le calcul du versement du solde de la convention</t>
        </r>
      </text>
    </comment>
    <comment ref="B283" authorId="0" shapeId="0">
      <text>
        <r>
          <rPr>
            <sz val="10"/>
            <color indexed="81"/>
            <rFont val="Tahoma"/>
            <family val="2"/>
          </rPr>
          <t>Cette valeur constituera la référence pour le calcul du versement du solde de la convention</t>
        </r>
      </text>
    </comment>
    <comment ref="B284" authorId="0" shapeId="0">
      <text>
        <r>
          <rPr>
            <b/>
            <sz val="9"/>
            <color indexed="81"/>
            <rFont val="Tahoma"/>
            <family val="2"/>
          </rPr>
          <t>Les projets doivent obligatoirement faire l’objet d’une instrumentation mise en place par le maître d’ouvrage pour le suivi de fonctionnement de ses installations. Dans tous les cas, il sera mis en place un monitoring adapté au fonctionnement de l’installation avec obligatoirement</t>
        </r>
      </text>
    </comment>
    <comment ref="B286" authorId="0" shapeId="0">
      <text>
        <r>
          <rPr>
            <b/>
            <sz val="9"/>
            <color indexed="81"/>
            <rFont val="Tahoma"/>
            <family val="2"/>
          </rPr>
          <t xml:space="preserve">Le bénéficiaire a prévu de mettre en place une instrumentation destinée à assurer le suivi du fonctionnement et des performances des installations pendant toute la durée de leur exploitation. Il en assurera obligatoirement les frais d’entretien et s’assurera de la validité des données mesurées.
Cette instrumentation devra être suffisante pour permettre la mesure de la quantité de chaleur Enr&amp;R injecté dans le réseau/ à la quantité totale de chaleur injectée (Pour mémoire, outre le comptage de production, le comptage d’énergie à chaque point de livraison est obligatoire : article 86 de la loi 2010-790 du grenelle 2).
</t>
        </r>
      </text>
    </comment>
    <comment ref="B303" authorId="0" shapeId="0">
      <text>
        <r>
          <rPr>
            <sz val="14"/>
            <color indexed="81"/>
            <rFont val="Tahoma"/>
            <family val="2"/>
          </rPr>
          <t>Non compatible avec les aides CEE</t>
        </r>
      </text>
    </comment>
  </commentList>
</comments>
</file>

<file path=xl/comments4.xml><?xml version="1.0" encoding="utf-8"?>
<comments xmlns="http://schemas.openxmlformats.org/spreadsheetml/2006/main">
  <authors>
    <author>VAYSSIE Fanny</author>
    <author>tc={95BFDBD5-A49A-4BA1-B2EB-B65C19D2689F}</author>
    <author>HAMADOU Hakim</author>
    <author>Jérôme BUFFIERE</author>
  </authors>
  <commentList>
    <comment ref="B15" authorId="0" shapeId="0">
      <text>
        <r>
          <rPr>
            <sz val="9"/>
            <color indexed="81"/>
            <rFont val="Marianne Light"/>
            <family val="3"/>
          </rPr>
          <t>HTR = Hors TVA récupérable auprès du Trésor Public ou du Fonds de compensation de la TVA.</t>
        </r>
      </text>
    </comment>
    <comment ref="B2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Qualification nécessaire : sous-sol (1007) et/ou fluide (2013)
Attention projet sur nappe : hydrogréologue obligatoire en plus du BE fluide</t>
        </r>
      </text>
    </comment>
    <comment ref="B62" authorId="0" shapeId="0">
      <text>
        <r>
          <rPr>
            <sz val="9"/>
            <color indexed="81"/>
            <rFont val="Marianne Light"/>
            <family val="3"/>
          </rPr>
          <t xml:space="preserve">Faire apparaitre les phases d’études, de travaux de reconnaissance, de travaux définitifs de forage (boucle primaire) et CVC. Préciser les travaux de reconnaissance qui ont été réalisés à la date du dépôt de dossier. </t>
        </r>
      </text>
    </comment>
    <comment ref="B76" authorId="0" shapeId="0">
      <text>
        <r>
          <rPr>
            <b/>
            <sz val="11"/>
            <color indexed="81"/>
            <rFont val="Tahoma"/>
            <family val="2"/>
          </rPr>
          <t>Si la case est vide, non concerné</t>
        </r>
        <r>
          <rPr>
            <b/>
            <sz val="9"/>
            <color indexed="81"/>
            <rFont val="Tahoma"/>
            <family val="2"/>
          </rPr>
          <t xml:space="preserve">
</t>
        </r>
      </text>
    </comment>
    <comment ref="N79" authorId="2" shapeId="0">
      <text>
        <r>
          <rPr>
            <b/>
            <sz val="9"/>
            <color indexed="81"/>
            <rFont val="Tahoma"/>
            <family val="2"/>
          </rPr>
          <t>HAMADOU Hakim:</t>
        </r>
        <r>
          <rPr>
            <sz val="9"/>
            <color indexed="81"/>
            <rFont val="Tahoma"/>
            <family val="2"/>
          </rPr>
          <t xml:space="preserve">
Indiquer ici en quelques lignes comment a été pris en compte le DEET si soumis  :
- Les obligations qui s'imposent : économie d'énergie à réaliser ou cible valeur absolue,
- Le gain d'économie apportées par le projet de géothermie et des actions d'économie d'énergie associées le cas échéant,
- Les éventuelles actions à planifier d'ici 2030 afin d emettre en conformité le projet. 
</t>
        </r>
      </text>
    </comment>
    <comment ref="B95" authorId="0" shapeId="0">
      <text>
        <r>
          <rPr>
            <b/>
            <sz val="9"/>
            <color indexed="81"/>
            <rFont val="Tahoma"/>
            <family val="2"/>
          </rPr>
          <t>le tableau continue dans les cellules masquées si besoin</t>
        </r>
      </text>
    </comment>
    <comment ref="B116" authorId="0" shapeId="0">
      <text>
        <r>
          <rPr>
            <b/>
            <sz val="9"/>
            <color indexed="81"/>
            <rFont val="Tahoma"/>
            <family val="2"/>
          </rPr>
          <t>Puissance à installer</t>
        </r>
      </text>
    </comment>
    <comment ref="B132" authorId="2" shapeId="0">
      <text>
        <r>
          <rPr>
            <sz val="9"/>
            <color indexed="81"/>
            <rFont val="Tahoma"/>
            <family val="2"/>
          </rPr>
          <t>Les objectifs Crelat seront directement déterminés respectivement pour chacune des échéances décennales de la façon suivante :
- Pour l'échéance 2030 : Crelat 2030 = (1 - 0,4) × Créf
- Pour l'échéance 2040 : Crelat 2040 = (1 - 0,5) × Créf
- Pour l'échéance 2050 : Crelat 2050 = (1 - 0,6) × Créf.
Il est également possible de modifier le tableur en prenant la méthode des valeurs absolues  et d'entrer le Cabs de référence (Cabs = CVC + USE)</t>
        </r>
      </text>
    </comment>
    <comment ref="B133" authorId="2" shapeId="0">
      <text>
        <r>
          <rPr>
            <sz val="9"/>
            <color indexed="81"/>
            <rFont val="Tahoma"/>
            <family val="2"/>
          </rPr>
          <t xml:space="preserve">Il est également possible de modifier le tableur en prenant la méthode des valeurs absolues et de rentrer la consommation unitaire (en kWh/m2.an)  après travaux, tous usages. </t>
        </r>
      </text>
    </comment>
    <comment ref="B136" authorId="0" shapeId="0">
      <text>
        <r>
          <rPr>
            <b/>
            <sz val="9"/>
            <color indexed="81"/>
            <rFont val="Tahoma"/>
            <family val="2"/>
          </rPr>
          <t xml:space="preserve">Si bâtiment collectif alors la classe énergétique doit être inférieure ou égale à C.
Si bâtiment tertiaire soumis au décrêt n°2017-918 du 9 mai 2017, alors la classe énergétique doit être inférieure ou égale à C.
Si bâtiment tertiaire NON soumis au décrêt n°2017-918 du 9 mai 2017, alors la classe énergétique doit être inférieure ou égale à D.
</t>
        </r>
      </text>
    </comment>
    <comment ref="I143" authorId="0" shapeId="0">
      <text>
        <r>
          <rPr>
            <b/>
            <sz val="9"/>
            <color indexed="81"/>
            <rFont val="Tahoma"/>
            <family val="2"/>
          </rPr>
          <t>Froid : En cas de Géocooling, l’indiquer clairement</t>
        </r>
      </text>
    </comment>
    <comment ref="B148" authorId="0" shapeId="0">
      <text>
        <r>
          <rPr>
            <b/>
            <sz val="9"/>
            <color indexed="81"/>
            <rFont val="Tahoma"/>
            <family val="2"/>
          </rPr>
          <t xml:space="preserve">Pour les PAC géothermiques sur sondes : régimes de température 0/-3°C et 30/35°C
Pour les PAC géothermiques sur nappe : régimes de température 10/7°C et 30/35°C </t>
        </r>
        <r>
          <rPr>
            <sz val="9"/>
            <color indexed="81"/>
            <rFont val="Tahoma"/>
            <family val="2"/>
          </rPr>
          <t>(Conditions d'essai : norme EN 14511-2 pour les PAC électriques; norme EN 12309 pour les PAC gaz à absorption)</t>
        </r>
        <r>
          <rPr>
            <b/>
            <sz val="9"/>
            <color indexed="81"/>
            <rFont val="Tahoma"/>
            <family val="2"/>
          </rPr>
          <t xml:space="preserve">
</t>
        </r>
      </text>
    </comment>
    <comment ref="G148" authorId="2" shapeId="0">
      <text>
        <r>
          <rPr>
            <b/>
            <sz val="9"/>
            <color indexed="81"/>
            <rFont val="Tahoma"/>
            <family val="2"/>
          </rPr>
          <t xml:space="preserve">Critère d'éligibilité FC : 
</t>
        </r>
        <r>
          <rPr>
            <sz val="9"/>
            <color indexed="81"/>
            <rFont val="Tahoma"/>
            <family val="2"/>
          </rPr>
          <t xml:space="preserve">&gt; 4,5 (nappe, EU)
&gt; 4 (sonde) </t>
        </r>
      </text>
    </comment>
    <comment ref="I148" authorId="2" shapeId="0">
      <text>
        <r>
          <rPr>
            <b/>
            <sz val="9"/>
            <color indexed="81"/>
            <rFont val="Tahoma"/>
            <family val="2"/>
          </rPr>
          <t>Critère d'éligibilité FC  : 
 &gt; 3,6</t>
        </r>
      </text>
    </comment>
    <comment ref="B149" authorId="0" shapeId="0">
      <text>
        <r>
          <rPr>
            <b/>
            <sz val="9"/>
            <color indexed="81"/>
            <rFont val="Tahoma"/>
            <family val="2"/>
          </rPr>
          <t>EER : Energy Efficency Ratio (Coefficient d’Efficacité Energétique) ou COP en mode froid</t>
        </r>
      </text>
    </comment>
    <comment ref="G149" authorId="2" shapeId="0">
      <text>
        <r>
          <rPr>
            <sz val="9"/>
            <color indexed="81"/>
            <rFont val="Tahoma"/>
            <family val="2"/>
          </rPr>
          <t>Ce COP est le COP moyen annuel. Il est calculé par le BE par une simulation sur l'ensemble de l'année des performances selon les régimes de T° aux emetteurs (loi d'eau) et des variations de T° sur la ressource. 
En l'absence de simulation, on peut l'estimer avec une formule "demi-Carnot" (cf cellule K148)</t>
        </r>
      </text>
    </comment>
    <comment ref="L149" authorId="2" shapeId="0">
      <text>
        <r>
          <rPr>
            <b/>
            <sz val="9"/>
            <color indexed="81"/>
            <rFont val="Tahoma"/>
            <family val="2"/>
          </rPr>
          <t>Formule empirique permettant d'estimer le COP Moyen annuel  :</t>
        </r>
        <r>
          <rPr>
            <sz val="9"/>
            <color indexed="81"/>
            <rFont val="Tahoma"/>
            <family val="2"/>
          </rPr>
          <t xml:space="preserve">
COP = 54%*((Tc+2)/(Tc-Tf+2*2)) 
Avec :
- T° en °K (+273)
- Tf = T° sortie évaporateur -&gt; assez stable, on peut prendre 4°C pour les sondes et 6°C pour les nappes
- Tc  = T° sortie condenseur  -&gt; on peut prendre la température moyenne de fonctionnement au condenseur (cela peut être moyenne loi d'eau)</t>
        </r>
      </text>
    </comment>
    <comment ref="G153" authorId="3" shapeId="0">
      <text>
        <r>
          <rPr>
            <b/>
            <sz val="9"/>
            <color indexed="81"/>
            <rFont val="Tahoma"/>
            <family val="2"/>
          </rPr>
          <t xml:space="preserve">Critère d'éligibilité  : </t>
        </r>
        <r>
          <rPr>
            <sz val="9"/>
            <color indexed="81"/>
            <rFont val="Tahoma"/>
            <family val="2"/>
          </rPr>
          <t xml:space="preserve">
il faut scop &gt;3</t>
        </r>
      </text>
    </comment>
    <comment ref="I153" authorId="3" shapeId="0">
      <text>
        <r>
          <rPr>
            <b/>
            <sz val="9"/>
            <color indexed="81"/>
            <rFont val="Tahoma"/>
            <family val="2"/>
          </rPr>
          <t xml:space="preserve">Fonds Chaleur  : </t>
        </r>
        <r>
          <rPr>
            <sz val="9"/>
            <color indexed="81"/>
            <rFont val="Tahoma"/>
            <family val="2"/>
          </rPr>
          <t xml:space="preserve">
'=MWh rafraichissement annuel produits/MWh électrique annuels consommés il faut SEER froid &gt;= 3,3</t>
        </r>
      </text>
    </comment>
    <comment ref="J153" authorId="3" shapeId="0">
      <text>
        <r>
          <rPr>
            <b/>
            <sz val="9"/>
            <color indexed="81"/>
            <rFont val="Tahoma"/>
            <family val="2"/>
          </rPr>
          <t>Fonds chaleur :</t>
        </r>
        <r>
          <rPr>
            <sz val="9"/>
            <color indexed="81"/>
            <rFont val="Tahoma"/>
            <family val="2"/>
          </rPr>
          <t xml:space="preserve">
 il faut seer &gt;=20 si geocooling</t>
        </r>
      </text>
    </comment>
    <comment ref="G155" authorId="3" shapeId="0">
      <text>
        <r>
          <rPr>
            <sz val="9"/>
            <color indexed="81"/>
            <rFont val="Tahoma"/>
            <family val="2"/>
          </rPr>
          <t>Sans calcul BE, pour les installations sur nappe,  on peut prendre env 15% des conso elec PAC (J BUFFIERE)
PAC sur sondes : ratio possible plus faible 10% ( (source : tableur "note d'opportunité")</t>
        </r>
      </text>
    </comment>
    <comment ref="H155" authorId="3" shapeId="0">
      <text>
        <r>
          <rPr>
            <sz val="9"/>
            <color indexed="81"/>
            <rFont val="Tahoma"/>
            <family val="2"/>
          </rPr>
          <t>Sans calcul BE, pour les installations sur nappe,  on peut prendre env 15% des conso elec PAC (J BUFFIERE)
PAC sur sondes : ratio possible plus faible 10% ( (source : tableur "note d'opportunité")</t>
        </r>
      </text>
    </comment>
    <comment ref="I155" authorId="3" shapeId="0">
      <text>
        <r>
          <rPr>
            <sz val="9"/>
            <color indexed="81"/>
            <rFont val="Tahoma"/>
            <family val="2"/>
          </rPr>
          <t>Sans calcul BE, pour les installations sur nappe,  on peut prendre env 15% des conso elec PAC (J BUFFIERE)
PAC sur sondes : ratio possible plus faible 10% (source : tableur "note d'opportunité"</t>
        </r>
      </text>
    </comment>
    <comment ref="B181" authorId="0" shapeId="0">
      <text>
        <r>
          <rPr>
            <sz val="9"/>
            <color indexed="81"/>
            <rFont val="Marianne Light "/>
          </rPr>
          <t>Justifier le type de rejet ainsi retenu</t>
        </r>
      </text>
    </comment>
    <comment ref="B210" authorId="0" shapeId="0">
      <text>
        <r>
          <rPr>
            <sz val="9"/>
            <color indexed="81"/>
            <rFont val="Marianne Light"/>
            <family val="3"/>
          </rPr>
          <t>Distance totale cumulée si le réseau est décentralisé et alimente plusieurs PAC</t>
        </r>
      </text>
    </comment>
    <comment ref="B212" authorId="0" shapeId="0">
      <text>
        <r>
          <rPr>
            <sz val="9"/>
            <color indexed="81"/>
            <rFont val="Marianne Light"/>
            <family val="3"/>
          </rPr>
          <t>Distance totale cumulée si le réseau est centralisé et dessert plusieurs bâtiments</t>
        </r>
      </text>
    </comment>
    <comment ref="D219" authorId="0" shapeId="0">
      <text>
        <r>
          <rPr>
            <b/>
            <sz val="9"/>
            <color indexed="81"/>
            <rFont val="Tahoma"/>
            <family val="2"/>
          </rPr>
          <t xml:space="preserve">ou gaz si PAC gaz
</t>
        </r>
      </text>
    </comment>
    <comment ref="B220" authorId="2" shapeId="0">
      <text>
        <r>
          <rPr>
            <b/>
            <sz val="9"/>
            <color indexed="81"/>
            <rFont val="Tahoma"/>
            <charset val="1"/>
          </rPr>
          <t>Doit être prévu dans toues les instalaltions</t>
        </r>
      </text>
    </comment>
    <comment ref="D220" authorId="2" shapeId="0">
      <text>
        <r>
          <rPr>
            <b/>
            <sz val="9"/>
            <color indexed="81"/>
            <rFont val="Tahoma"/>
            <charset val="1"/>
          </rPr>
          <t>Doit être prévu dans toutes les instalaltions</t>
        </r>
      </text>
    </comment>
    <comment ref="B221" authorId="0" shapeId="0">
      <text>
        <r>
          <rPr>
            <b/>
            <sz val="12"/>
            <color indexed="81"/>
            <rFont val="Tahoma"/>
            <family val="2"/>
          </rPr>
          <t>Doit être prévu dans toutes les installations</t>
        </r>
      </text>
    </comment>
    <comment ref="B233" authorId="0" shapeId="0">
      <text>
        <r>
          <rPr>
            <sz val="9"/>
            <color indexed="81"/>
            <rFont val="Marianne Light"/>
            <family val="3"/>
          </rPr>
          <t>HTR = Hors TVA récupérable auprès du Trésor Public ou du Fonds de compensation de la TVA.</t>
        </r>
      </text>
    </comment>
    <comment ref="B255" authorId="0" shapeId="0">
      <text>
        <r>
          <rPr>
            <sz val="9"/>
            <color indexed="81"/>
            <rFont val="Marianne Light"/>
            <family val="3"/>
          </rPr>
          <t>Pour les opérations de géothermie sur nappe, les études d’ingénierie devront être confiées à un BET thermique/fluides et à un hydrogéologue. 
Pour toutes les opérations de géothermie assistée par PAC (hors projets sur eaux de surface et eaux usées), au moins un acteur RGE (Reconnu Garant de l’Environnement) devra intervenir sur le projet : soit le bureau d’étude qui réalise l’ingénierie de conception (OPQIBI 20.13 ou qualification équivalente), soit le bureau d’études qui réalise l’ingénierie de réalisation (OPQIBI 20.13 ou qualification équivalente), soit le BE qui réalise l’étude des ressources géothermiques (OPQIBI 10.07 ou qualification équivalente). 
La mention « Reconnu Garant de l’Environnement » (RGE) est un gage de qualité, il est souhaitable de s’adresser prioritairement aux entreprises qualifiées RGE ou équivalent.</t>
        </r>
        <r>
          <rPr>
            <b/>
            <sz val="9"/>
            <color indexed="81"/>
            <rFont val="Tahoma"/>
            <family val="2"/>
          </rPr>
          <t xml:space="preserve">
</t>
        </r>
      </text>
    </comment>
    <comment ref="I255" authorId="0" shapeId="0">
      <text>
        <r>
          <rPr>
            <b/>
            <sz val="9"/>
            <color indexed="81"/>
            <rFont val="Marianne Light"/>
            <family val="3"/>
          </rPr>
          <t>Nom du BE</t>
        </r>
      </text>
    </comment>
    <comment ref="B256" authorId="0" shapeId="0">
      <text>
        <r>
          <rPr>
            <sz val="12"/>
            <color indexed="81"/>
            <rFont val="Marianne Medium"/>
            <family val="3"/>
          </rPr>
          <t>Bâtiments neufs</t>
        </r>
        <r>
          <rPr>
            <sz val="12"/>
            <color indexed="81"/>
            <rFont val="Marianne Light"/>
            <family val="3"/>
          </rPr>
          <t xml:space="preserve">
Les projets soumis à la RT 2012 pour lesquels l'installation de "chaleur renouvelable" est nécessaire au respect de celle-ci ne sont pas éligibles au Fonds Chaleur.
Aussi, les bâtiments neufs soumis à la RT 2012 doivent avoir une consommation moyenne inférieure à ce qu’impose la RT 2012. L’étude réglementaire devra montrer un Cep(projet) &lt; Cep(max) - 15% ou le bureau d’études devra montrer par un double calcul que son projet respecte la RT 2012 sans recours aux énergies renouvelables (calcul à performance équivalente de besoins Bbio et avec une solution de référence hors EnR). 
Les bâtiments neufs non soumis à la RT doivent avoir des caractéristiques de bâtiment (huisserie, isolation, équipement technique, etc.) se rapprochant de la RT 2012.
</t>
        </r>
        <r>
          <rPr>
            <sz val="12"/>
            <color indexed="81"/>
            <rFont val="Marianne Medium"/>
            <family val="3"/>
          </rPr>
          <t>Bâtiments existants</t>
        </r>
        <r>
          <rPr>
            <sz val="12"/>
            <color indexed="81"/>
            <rFont val="Marianne Light"/>
            <family val="3"/>
          </rPr>
          <t xml:space="preserve">
Les bâtiments faisant l’objet d’une rénovation doivent respecter la RT en vigueur.
Sauf cas particuliers (bâtiments non soumis à l’étiquette DPE), les bâtiments existants ou rénovés devront attester d'une classe énergétique ≤  à la classe D, soit une consommation conventionnelle inférieure à une valeur de 230 kWhep/m2.an pour le logement. La justification se fera à partir de la méthode DPE. </t>
        </r>
        <r>
          <rPr>
            <b/>
            <sz val="12"/>
            <color indexed="81"/>
            <rFont val="Tahoma"/>
            <family val="2"/>
          </rPr>
          <t xml:space="preserve">
</t>
        </r>
      </text>
    </comment>
    <comment ref="B279" authorId="0" shapeId="0">
      <text>
        <r>
          <rPr>
            <b/>
            <sz val="12"/>
            <color indexed="81"/>
            <rFont val="Tahoma"/>
            <family val="2"/>
          </rPr>
          <t xml:space="preserve">Le principe est d’accompagner les opérations de pompes à chaleur géothermiques assurant des besoins en chaud et en froid avec, pour la production de froid une priorité de fonctionnement de l’installation donnée au rafraîchissement direct par géocooling. </t>
        </r>
      </text>
    </comment>
    <comment ref="B281" authorId="0" shapeId="0">
      <text>
        <r>
          <rPr>
            <b/>
            <sz val="9"/>
            <color indexed="81"/>
            <rFont val="Tahoma"/>
            <family val="2"/>
          </rPr>
          <t>MWh rafraîchissement annuels produit / MWh électrique annuels consommés.</t>
        </r>
      </text>
    </comment>
    <comment ref="B283" authorId="0" shapeId="0">
      <text>
        <r>
          <rPr>
            <sz val="10"/>
            <color indexed="81"/>
            <rFont val="Tahoma"/>
            <family val="2"/>
          </rPr>
          <t>Cette valeur constituera la référence pour le calcul du versement du solde de la convention</t>
        </r>
      </text>
    </comment>
    <comment ref="I283" authorId="3" shapeId="0">
      <text>
        <r>
          <rPr>
            <sz val="9"/>
            <color indexed="81"/>
            <rFont val="Tahoma"/>
            <family val="2"/>
          </rPr>
          <t>Le calcul des aides est basé sur les "ENR géothermique" considerées = Energie sortie PAC - Conso PAC (la conso Pompes de puits n'est plus déduite en 2023)</t>
        </r>
      </text>
    </comment>
    <comment ref="H284" authorId="2" shapeId="0">
      <text>
        <r>
          <rPr>
            <sz val="9"/>
            <color indexed="81"/>
            <rFont val="Tahoma"/>
            <family val="2"/>
          </rPr>
          <t>Forumule à venir</t>
        </r>
      </text>
    </comment>
    <comment ref="I284" authorId="2" shapeId="0">
      <text>
        <r>
          <rPr>
            <sz val="9"/>
            <color indexed="81"/>
            <rFont val="Tahoma"/>
            <family val="2"/>
          </rPr>
          <t>Méthode de calcul du Froid EnR (FC 2023 selon règlement UE)</t>
        </r>
      </text>
    </comment>
    <comment ref="B285" authorId="0" shapeId="0">
      <text>
        <r>
          <rPr>
            <sz val="10"/>
            <color indexed="81"/>
            <rFont val="Tahoma"/>
            <family val="2"/>
          </rPr>
          <t>Cette valeur constituera la référence pour le calcul du versement du solde de la convention</t>
        </r>
      </text>
    </comment>
    <comment ref="I285" authorId="3" shapeId="0">
      <text>
        <r>
          <rPr>
            <sz val="9"/>
            <color indexed="81"/>
            <rFont val="Tahoma"/>
            <family val="2"/>
          </rPr>
          <t>Le calcul des aides est basé sur les "ENR géothermique" considerées = Energie Geocooling - Conso Pompes de puits</t>
        </r>
      </text>
    </comment>
    <comment ref="B286" authorId="0" shapeId="0">
      <text>
        <r>
          <rPr>
            <b/>
            <sz val="12"/>
            <color indexed="81"/>
            <rFont val="Tahoma"/>
            <family val="2"/>
          </rPr>
          <t>Les projets doivent obligatoirement faire l’objet d’une instrumentation mise en place par le maître d’ouvrage pour le suivi de fonctionnement de ses installations. Dans tous les cas, il sera mis en place un monitoring adapté au fonctionnement de l’installation avec obligatoirement</t>
        </r>
      </text>
    </comment>
    <comment ref="B288" authorId="0" shapeId="0">
      <text>
        <r>
          <rPr>
            <b/>
            <sz val="12"/>
            <color indexed="81"/>
            <rFont val="Tahoma"/>
            <family val="2"/>
          </rPr>
          <t xml:space="preserve">Le bénéficiaire a prévu de mettre en place une instrumentation destinée à assurer le suivi du fonctionnement et des performances des installations pendant toute la durée de leur exploitation. Il en assurera obligatoirement les frais d’entretien et s’assurera de la validité des données mesurées.
Cette instrumentation devra être suffisante pour permettre la mesure de la quantité de chaleur Enr&amp;R injecté dans le réseau/ à la quantité totale de chaleur injectée (Pour mémoire, outre le comptage de production, le comptage d’énergie à chaque point de livraison est obligatoire : article 86 de la loi 2010-790 du grenelle 2).
</t>
        </r>
      </text>
    </comment>
    <comment ref="B336" authorId="0" shapeId="0">
      <text>
        <r>
          <rPr>
            <sz val="14"/>
            <color indexed="81"/>
            <rFont val="Tahoma"/>
            <family val="2"/>
          </rPr>
          <t>Non compatible avec les aides CEE</t>
        </r>
      </text>
    </comment>
  </commentList>
</comments>
</file>

<file path=xl/comments5.xml><?xml version="1.0" encoding="utf-8"?>
<comments xmlns="http://schemas.openxmlformats.org/spreadsheetml/2006/main">
  <authors>
    <author>tc={6F0982B3-0C7A-4750-855F-3960D1553164}</author>
  </authors>
  <commentList>
    <comment ref="K13"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venir FC 2023</t>
        </r>
      </text>
    </comment>
  </commentList>
</comments>
</file>

<file path=xl/comments6.xml><?xml version="1.0" encoding="utf-8"?>
<comments xmlns="http://schemas.openxmlformats.org/spreadsheetml/2006/main">
  <authors>
    <author>VAYSSIE Fanny</author>
  </authors>
  <commentList>
    <comment ref="B36" authorId="0" shapeId="0">
      <text>
        <r>
          <rPr>
            <b/>
            <sz val="9"/>
            <color indexed="81"/>
            <rFont val="Tahoma"/>
            <family val="2"/>
          </rPr>
          <t>le cas échéant</t>
        </r>
      </text>
    </comment>
    <comment ref="B46" authorId="0" shapeId="0">
      <text>
        <r>
          <rPr>
            <b/>
            <sz val="9"/>
            <color indexed="81"/>
            <rFont val="Tahoma"/>
            <family val="2"/>
          </rPr>
          <t>Insérer des cellules si besoin (clic droit sur la colonne des lignes à gauche)</t>
        </r>
      </text>
    </comment>
    <comment ref="C47" authorId="0" shapeId="0">
      <text>
        <r>
          <rPr>
            <b/>
            <sz val="9"/>
            <color indexed="81"/>
            <rFont val="Tahoma"/>
            <family val="2"/>
          </rPr>
          <t>Présenter en une dizaine de lignes maximum le projet (afin d'avoir une vision globale):
- Contexte local
- Points forts/clefs 
- Poins faibles et réponses apportées</t>
        </r>
      </text>
    </comment>
    <comment ref="B84" authorId="0" shapeId="0">
      <text>
        <r>
          <rPr>
            <sz val="9"/>
            <color indexed="81"/>
            <rFont val="Marianne Light"/>
            <family val="3"/>
          </rPr>
          <t xml:space="preserve">Faire apparaitre les phases d’études, de travaux de reconnaissance, de travaux définitifs de forage (boucle primaire) et CVC. Préciser les travaux de reconnaissance qui ont été réalisés à la date du dépôt de dossier. </t>
        </r>
      </text>
    </comment>
    <comment ref="E182" authorId="0" shapeId="0">
      <text>
        <r>
          <rPr>
            <b/>
            <sz val="9"/>
            <color indexed="81"/>
            <rFont val="Tahoma"/>
            <family val="2"/>
          </rPr>
          <t xml:space="preserve">Production sortie PAC
</t>
        </r>
      </text>
    </comment>
    <comment ref="B252" authorId="0" shapeId="0">
      <text>
        <r>
          <rPr>
            <sz val="9"/>
            <color indexed="81"/>
            <rFont val="Marianne Light "/>
          </rPr>
          <t>Justifier le type de rejet ainsi retenu</t>
        </r>
      </text>
    </comment>
    <comment ref="B286" authorId="0" shapeId="0">
      <text>
        <r>
          <rPr>
            <sz val="9"/>
            <color indexed="81"/>
            <rFont val="Marianne Light"/>
            <family val="3"/>
          </rPr>
          <t>Distance totale cumulée si le réseau est décentralisé et alimente plusieurs PAC</t>
        </r>
      </text>
    </comment>
    <comment ref="B287" authorId="0" shapeId="0">
      <text>
        <r>
          <rPr>
            <sz val="9"/>
            <color indexed="81"/>
            <rFont val="Marianne Light"/>
            <family val="3"/>
          </rPr>
          <t>Distance totale cumulée si le réseau est centralisé et dessert plusieurs bâtiments</t>
        </r>
      </text>
    </comment>
    <comment ref="D289" authorId="0" shapeId="0">
      <text>
        <r>
          <rPr>
            <b/>
            <sz val="9"/>
            <color indexed="81"/>
            <rFont val="Tahoma"/>
            <family val="2"/>
          </rPr>
          <t xml:space="preserve">ou gaz si PAC gaz
</t>
        </r>
      </text>
    </comment>
    <comment ref="B336" authorId="0" shapeId="0">
      <text>
        <r>
          <rPr>
            <b/>
            <sz val="9"/>
            <color indexed="81"/>
            <rFont val="Tahoma"/>
            <family val="2"/>
          </rPr>
          <t>le tableau continue dans les cellules masquées si besoin</t>
        </r>
      </text>
    </comment>
    <comment ref="B351" authorId="0" shapeId="0">
      <text>
        <r>
          <rPr>
            <b/>
            <sz val="9"/>
            <color indexed="81"/>
            <rFont val="Tahoma"/>
            <family val="2"/>
          </rPr>
          <t>Puissance à installer</t>
        </r>
      </text>
    </comment>
    <comment ref="B362" authorId="0" shapeId="0">
      <text>
        <r>
          <rPr>
            <b/>
            <sz val="9"/>
            <color indexed="81"/>
            <rFont val="Tahoma"/>
            <family val="2"/>
          </rPr>
          <t xml:space="preserve">Si bâtiment collectif alors la classe énergétique doit être inférieure ou égale à C.
Si bâtiment tertiaire soumis au décrêt n°2017-918 du 9 mai 2017, alors la classe énergétique doit être inférieure ou égale à C.
Si bâtiment tertiaire NON soumis au décrêt n°2017-918 du 9 mai 2017, alors la classe énergétique doit être inférieure ou égale à D.
</t>
        </r>
      </text>
    </comment>
    <comment ref="B412" authorId="0" shapeId="0">
      <text>
        <r>
          <rPr>
            <sz val="9"/>
            <color indexed="81"/>
            <rFont val="Marianne Light"/>
            <family val="3"/>
          </rPr>
          <t>Pour un projet bois CDENR, au moins un acteur RGE (ou équivalent en Bioénergie) devra intervenir sur le projet biomasse: 
- soit l'AMO
- soit le BE qui réalise l'ingénierie de conception, 
- soit le BE qui réalise l'ingénierie de réalisation, 
- soit l’installateur. 
Pour les équipements de moins de 70 kW, la qualification Qualibois de Qualit’EnR de l’installateur répond à ce critère.
La mention « Reconnu Garant de l’Environnement » (RGE) est un gage de qualité, il est souhaitable de s’adresser prioritairement aux entreprises qualifiées RGE ou équivalent.</t>
        </r>
        <r>
          <rPr>
            <b/>
            <sz val="9"/>
            <color indexed="81"/>
            <rFont val="Tahoma"/>
            <family val="2"/>
          </rPr>
          <t xml:space="preserve">
</t>
        </r>
      </text>
    </comment>
    <comment ref="I412" authorId="0" shapeId="0">
      <text>
        <r>
          <rPr>
            <b/>
            <sz val="9"/>
            <color indexed="81"/>
            <rFont val="Marianne Light"/>
            <family val="3"/>
          </rPr>
          <t>Nom du BE</t>
        </r>
      </text>
    </comment>
    <comment ref="B413" authorId="0" shapeId="0">
      <text>
        <r>
          <rPr>
            <sz val="9"/>
            <color indexed="81"/>
            <rFont val="Marianne Medium"/>
            <family val="3"/>
          </rPr>
          <t>Bâtiments neufs</t>
        </r>
        <r>
          <rPr>
            <sz val="9"/>
            <color indexed="81"/>
            <rFont val="Marianne Light"/>
            <family val="3"/>
          </rPr>
          <t xml:space="preserve">
Les projets soumis à la RT 2012 pour lesquels l'installation de "chaleur renouvelable" est nécessaire au respect de celle-ci ne sont pas éligibles au Fonds Chaleur.
Aussi, les bâtiments neufs soumis à la RT 2012 doivent avoir une consommation moyenne inférieure à ce qu’impose la RT 2012. L’étude réglementaire devra montrer un Cep(projet) &lt; Cep(max) - 15% ou le bureau d’études devra montrer par un double calcul que son projet respecte la RT 2012 sans recours aux énergies renouvelables (calcul à performance équivalente de besoins Bbio et avec une solution de référence hors EnR). 
Les bâtiments neufs non soumis à la RT doivent avoir des caractéristiques de bâtiment (huisserie, isolation, équipement technique, etc.) se rapprochant de la RT 2012.
</t>
        </r>
        <r>
          <rPr>
            <sz val="9"/>
            <color indexed="81"/>
            <rFont val="Marianne Medium"/>
            <family val="3"/>
          </rPr>
          <t>Bâtiments existants</t>
        </r>
        <r>
          <rPr>
            <sz val="9"/>
            <color indexed="81"/>
            <rFont val="Marianne Light"/>
            <family val="3"/>
          </rPr>
          <t xml:space="preserve">
Les bâtiments faisant l’objet d’une rénovation doivent respecter la RT en vigueur.
Sauf cas particuliers (bâtiments non soumis à l’étiquette DPE), les bâtiments existants ou rénovés devront attester d'une classe énergétique ≤  à la classe D, soit une consommation conventionnelle inférieure à une valeur de 230 kWhep/m2.an pour le logement. La justification se fera à partir de la méthode DPE. </t>
        </r>
        <r>
          <rPr>
            <b/>
            <sz val="9"/>
            <color indexed="81"/>
            <rFont val="Tahoma"/>
            <family val="2"/>
          </rPr>
          <t xml:space="preserve">
</t>
        </r>
      </text>
    </comment>
    <comment ref="I413" authorId="0" shapeId="0">
      <text>
        <r>
          <rPr>
            <b/>
            <sz val="9"/>
            <color indexed="81"/>
            <rFont val="Marianne Light"/>
            <family val="3"/>
          </rPr>
          <t>Calcul du Cep</t>
        </r>
      </text>
    </comment>
    <comment ref="B417" authorId="0" shapeId="0">
      <text>
        <r>
          <rPr>
            <sz val="9"/>
            <color indexed="81"/>
            <rFont val="Marianne Light"/>
            <family val="3"/>
          </rPr>
          <t>Le bénéficiaire a prévu de mettre en place une instrumentation destinée à assurer le suivi du fonctionnement et des performances des installations pendant toute la durée de leur exploitation. Il en assurera obligatoirement les frais d’entretien et s’assurera de la validité des données mesurées.
Cette instrumentation devra être suffisante pour permettre la mesure de la quantité de chaleur Enr&amp;R injecté dans le réseau/ à la quantité totale de chaleur injectée (Pour mémoire, outre le comptage de production, le comptage d’énergie à chaque point de livraison est obligatoire : article 86 de la loi 2010-790 du grenelle 2).</t>
        </r>
        <r>
          <rPr>
            <sz val="9"/>
            <color indexed="81"/>
            <rFont val="Tahoma"/>
            <family val="2"/>
          </rPr>
          <t xml:space="preserve">
</t>
        </r>
      </text>
    </comment>
    <comment ref="B420" authorId="0" shapeId="0">
      <text>
        <r>
          <rPr>
            <sz val="9"/>
            <color indexed="81"/>
            <rFont val="Marianne Light"/>
            <family val="3"/>
          </rPr>
          <t>La chaudière biomasse mise en place est référencée dans la « base de données des chaudières petites et moyennes puissances éligibles au Fonds Chaleur » (lien cliquable BDD).  
Pour les projets de plus de 1200 MWh, parmi cette base, le maitre d’ouvrage devra retenir les installations dont les émissions de poussières respectent les critères d’éligibilité suivants : 45 mg/Nm3 à 6%O2 hors zone PPA et 30 mg/Nm3 à 6% d’O2 en zone PPA. 
En cas de recours à un système de dépoussiérage performant des fumées (à préciser), la valeur maximale d’émissions de poussières atteinte par l’installation devra être inférieure ou égale aux valeurs ci-dessus.</t>
        </r>
        <r>
          <rPr>
            <b/>
            <sz val="9"/>
            <color indexed="81"/>
            <rFont val="Tahoma"/>
            <family val="2"/>
          </rPr>
          <t xml:space="preserve">
</t>
        </r>
      </text>
    </comment>
    <comment ref="B421" authorId="0" shapeId="0">
      <text>
        <r>
          <rPr>
            <sz val="9"/>
            <color indexed="81"/>
            <rFont val="Marianne Light"/>
            <family val="3"/>
          </rPr>
          <t xml:space="preserve">Pour les NOx, le projet doit respecter les contraintes réglementaires nationales et/ou locales. 
</t>
        </r>
        <r>
          <rPr>
            <b/>
            <sz val="9"/>
            <color indexed="81"/>
            <rFont val="Marianne Light"/>
            <family val="3"/>
          </rPr>
          <t xml:space="preserve">
L’ADEME recommande d’anticiper les évolutions réglementaires et de respecter:</t>
        </r>
        <r>
          <rPr>
            <sz val="9"/>
            <color indexed="81"/>
            <rFont val="Marianne Light"/>
            <family val="3"/>
          </rPr>
          <t xml:space="preserve">
- un niveau de performance inférieur à 300 mg/Nm3 à 6% O2, atteignable avec les technologies disponibles sur le marché, pour les installations supérieures à 5MW ou situées en zone PPA.
- un niveau de performance inférieur à 500 mg/Nm3 à 6% O2, atteignable avec les technologies disponibles sur le marché, pour les installations inférieures ou égales à 5MW.
</t>
        </r>
      </text>
    </comment>
    <comment ref="B431" authorId="0" shapeId="0">
      <text>
        <r>
          <rPr>
            <sz val="14"/>
            <color indexed="81"/>
            <rFont val="Tahoma"/>
            <family val="2"/>
          </rPr>
          <t>Non compatible avec les aides CEE</t>
        </r>
      </text>
    </comment>
  </commentList>
</comments>
</file>

<file path=xl/comments7.xml><?xml version="1.0" encoding="utf-8"?>
<comments xmlns="http://schemas.openxmlformats.org/spreadsheetml/2006/main">
  <authors>
    <author>VAYSSIE Fanny</author>
  </authors>
  <commentList>
    <comment ref="B41" authorId="0" shapeId="0">
      <text>
        <r>
          <rPr>
            <b/>
            <sz val="9"/>
            <color indexed="81"/>
            <rFont val="Tahoma"/>
            <family val="2"/>
          </rPr>
          <t>Insérer des cellules se besoin (clic droit sur la colonne des lignes à gauche)</t>
        </r>
      </text>
    </comment>
    <comment ref="B61" authorId="0" shapeId="0">
      <text>
        <r>
          <rPr>
            <b/>
            <sz val="9"/>
            <color indexed="81"/>
            <rFont val="Tahoma"/>
            <family val="2"/>
          </rPr>
          <t>le tableau continue dans les cellules masquées si besoin</t>
        </r>
      </text>
    </comment>
    <comment ref="B87" authorId="0" shapeId="0">
      <text>
        <r>
          <rPr>
            <b/>
            <sz val="9"/>
            <color indexed="81"/>
            <rFont val="Tahoma"/>
            <family val="2"/>
          </rPr>
          <t>Calculée grâce aux données d'énergie thermiques consommées</t>
        </r>
      </text>
    </comment>
    <comment ref="B107" authorId="0" shapeId="0">
      <text>
        <r>
          <rPr>
            <b/>
            <sz val="9"/>
            <color indexed="81"/>
            <rFont val="Tahoma"/>
            <family val="2"/>
          </rPr>
          <t xml:space="preserve">Calculée grâce aux données des énergies thermiques consommées
</t>
        </r>
      </text>
    </comment>
    <comment ref="B138" authorId="0" shapeId="0">
      <text>
        <r>
          <rPr>
            <sz val="9"/>
            <color indexed="81"/>
            <rFont val="Marianne Light"/>
            <family val="3"/>
          </rPr>
          <t>HTR = Hors TVA récupérable auprès du Trésor Public ou du Fonds de compensation de la TVA.</t>
        </r>
      </text>
    </comment>
    <comment ref="M138" authorId="0" shapeId="0">
      <text>
        <r>
          <rPr>
            <b/>
            <sz val="9"/>
            <color indexed="81"/>
            <rFont val="Tahoma"/>
            <family val="2"/>
          </rPr>
          <t>Garder uniquement les estimations si vous n'avez aucune information pour remplir les charges</t>
        </r>
      </text>
    </comment>
    <comment ref="G139" authorId="0" shapeId="0">
      <text>
        <r>
          <rPr>
            <b/>
            <sz val="9"/>
            <color indexed="81"/>
            <rFont val="Tahoma"/>
            <family val="2"/>
          </rPr>
          <t>Génie civil</t>
        </r>
      </text>
    </comment>
    <comment ref="G140" authorId="0" shapeId="0">
      <text>
        <r>
          <rPr>
            <b/>
            <sz val="9"/>
            <color indexed="81"/>
            <rFont val="Tahoma"/>
            <family val="2"/>
          </rPr>
          <t>Process bois</t>
        </r>
      </text>
    </comment>
    <comment ref="H140" authorId="0" shapeId="0">
      <text>
        <r>
          <rPr>
            <sz val="9"/>
            <color indexed="81"/>
            <rFont val="Marianne Light"/>
            <family val="3"/>
          </rPr>
          <t>coût de la fourniture du (des) combustible(s)</t>
        </r>
        <r>
          <rPr>
            <sz val="9"/>
            <color indexed="81"/>
            <rFont val="Tahoma"/>
            <family val="2"/>
          </rPr>
          <t xml:space="preserve">
</t>
        </r>
      </text>
    </comment>
    <comment ref="M140" authorId="0" shapeId="0">
      <text>
        <r>
          <rPr>
            <b/>
            <sz val="9"/>
            <color indexed="81"/>
            <rFont val="Tahoma"/>
            <family val="2"/>
          </rPr>
          <t>Est calculé quand  l'approvisionnement est complété.</t>
        </r>
      </text>
    </comment>
    <comment ref="H141" authorId="0" shapeId="0">
      <text>
        <r>
          <rPr>
            <sz val="9"/>
            <color indexed="81"/>
            <rFont val="Marianne Light"/>
            <family val="3"/>
          </rPr>
          <t>coût de l’électricité utilisée mécaniquement pour assurer le fonctionnement des installations primaires</t>
        </r>
      </text>
    </comment>
    <comment ref="G142" authorId="0" shapeId="0">
      <text>
        <r>
          <rPr>
            <b/>
            <sz val="9"/>
            <color indexed="81"/>
            <rFont val="Tahoma"/>
            <family val="2"/>
          </rPr>
          <t>Autres coûts</t>
        </r>
      </text>
    </comment>
    <comment ref="H142" authorId="0" shapeId="0">
      <text>
        <r>
          <rPr>
            <sz val="9"/>
            <color indexed="81"/>
            <rFont val="Marianne Light"/>
            <family val="3"/>
          </rPr>
          <t>coût des prestations de conduite, de l’entretien, montant des redevances et frais divers</t>
        </r>
      </text>
    </comment>
    <comment ref="H143" authorId="0" shapeId="0">
      <text>
        <r>
          <rPr>
            <sz val="9"/>
            <color indexed="81"/>
            <rFont val="Marianne Light"/>
            <family val="3"/>
          </rPr>
          <t>coût gros entretien, renouvellement</t>
        </r>
      </text>
    </comment>
    <comment ref="G144" authorId="0" shapeId="0">
      <text>
        <r>
          <rPr>
            <b/>
            <sz val="9"/>
            <color indexed="81"/>
            <rFont val="Tahoma"/>
            <family val="2"/>
          </rPr>
          <t>Etudes/ingénierie</t>
        </r>
      </text>
    </comment>
    <comment ref="H144" authorId="0" shapeId="0">
      <text>
        <r>
          <rPr>
            <b/>
            <sz val="9"/>
            <color indexed="81"/>
            <rFont val="Tahoma"/>
            <family val="2"/>
          </rPr>
          <t>Annuités investissement</t>
        </r>
      </text>
    </comment>
    <comment ref="M144" authorId="0" shapeId="0">
      <text>
        <r>
          <rPr>
            <b/>
            <sz val="9"/>
            <color indexed="81"/>
            <rFont val="Tahoma"/>
            <family val="2"/>
          </rPr>
          <t>Calcul à vérifier avec Nelly</t>
        </r>
      </text>
    </comment>
    <comment ref="B164" authorId="0" shapeId="0">
      <text>
        <r>
          <rPr>
            <b/>
            <sz val="9"/>
            <color indexed="81"/>
            <rFont val="Tahoma"/>
            <family val="2"/>
          </rPr>
          <t>PLAQUETTES FORESTIÈRES
ET ASSIMILÉES</t>
        </r>
      </text>
    </comment>
    <comment ref="B165" authorId="0" shapeId="0">
      <text>
        <r>
          <rPr>
            <b/>
            <sz val="9"/>
            <color indexed="81"/>
            <rFont val="Tahoma"/>
            <family val="2"/>
          </rPr>
          <t>CONNEXES ET SOUS-PRODUITS DE L’INDUSTRIE
DE PREMIÈRE TRANSFORMATION DU BOIS</t>
        </r>
      </text>
    </comment>
    <comment ref="B166" authorId="0" shapeId="0">
      <text>
        <r>
          <rPr>
            <b/>
            <sz val="9"/>
            <color indexed="81"/>
            <rFont val="Tahoma"/>
            <family val="2"/>
          </rPr>
          <t>BOIS FIN DE VIE ET BOIS DÉCHETS</t>
        </r>
      </text>
    </comment>
    <comment ref="B167" authorId="0" shapeId="0">
      <text>
        <r>
          <rPr>
            <b/>
            <sz val="9"/>
            <color indexed="81"/>
            <rFont val="Tahoma"/>
            <family val="2"/>
          </rPr>
          <t>GRANULÉS</t>
        </r>
      </text>
    </comment>
    <comment ref="B186" authorId="0" shapeId="0">
      <text>
        <r>
          <rPr>
            <sz val="9"/>
            <color indexed="81"/>
            <rFont val="Marianne Light"/>
            <family val="3"/>
          </rPr>
          <t>Pour un projet bois CDENR, au moins un acteur RGE (ou équivalent en Bioénergie) devra intervenir sur le projet biomasse: 
- soit l'AMO
- soit le BE qui réalise l'ingénierie de conception, 
- soit le BE qui réalise l'ingénierie de réalisation, 
- soit l’installateur. 
Pour les équipements de moins de 70 kW, la qualification Qualibois de Qualit’EnR de l’installateur répond à ce critère.
La mention « Reconnu Garant de l’Environnement » (RGE) est un gage de qualité, il est souhaitable de s’adresser prioritairement aux entreprises qualifiées RGE ou équivalent.</t>
        </r>
        <r>
          <rPr>
            <b/>
            <sz val="9"/>
            <color indexed="81"/>
            <rFont val="Tahoma"/>
            <family val="2"/>
          </rPr>
          <t xml:space="preserve">
</t>
        </r>
      </text>
    </comment>
    <comment ref="I186" authorId="0" shapeId="0">
      <text>
        <r>
          <rPr>
            <b/>
            <sz val="9"/>
            <color indexed="81"/>
            <rFont val="Marianne Light"/>
            <family val="3"/>
          </rPr>
          <t>Nom du BE</t>
        </r>
      </text>
    </comment>
    <comment ref="B187" authorId="0" shapeId="0">
      <text>
        <r>
          <rPr>
            <sz val="9"/>
            <color indexed="81"/>
            <rFont val="Marianne Medium"/>
            <family val="3"/>
          </rPr>
          <t>Bâtiments neufs</t>
        </r>
        <r>
          <rPr>
            <sz val="9"/>
            <color indexed="81"/>
            <rFont val="Marianne Light"/>
            <family val="3"/>
          </rPr>
          <t xml:space="preserve">
Les projets soumis à la RT 2012 pour lesquels l'installation de "chaleur renouvelable" est nécessaire au respect de celle-ci ne sont pas éligibles au Fonds Chaleur.
Aussi, les bâtiments neufs soumis à la RT 2012 doivent avoir une consommation moyenne inférieure à ce qu’impose la RT 2012. L’étude réglementaire devra montrer un Cep(projet) &lt; Cep(max) - 15% ou le bureau d’études devra montrer par un double calcul que son projet respecte la RT 2012 sans recours aux énergies renouvelables (calcul à performance équivalente de besoins Bbio et avec une solution de référence hors EnR). 
Les bâtiments neufs non soumis à la RT doivent avoir des caractéristiques de bâtiment (huisserie, isolation, équipement technique, etc.) se rapprochant de la RT 2012.
</t>
        </r>
        <r>
          <rPr>
            <sz val="9"/>
            <color indexed="81"/>
            <rFont val="Marianne Medium"/>
            <family val="3"/>
          </rPr>
          <t>Bâtiments existants</t>
        </r>
        <r>
          <rPr>
            <sz val="9"/>
            <color indexed="81"/>
            <rFont val="Marianne Light"/>
            <family val="3"/>
          </rPr>
          <t xml:space="preserve">
Les bâtiments faisant l’objet d’une rénovation doivent respecter la RT en vigueur.
Sauf cas particuliers (bâtiments non soumis à l’étiquette DPE), les bâtiments existants ou rénovés devront attester d'une classe énergétique ≤  à la classe D, soit une consommation conventionnelle inférieure à une valeur de 230 kWhep/m2.an pour le logement. La justification se fera à partir de la méthode DPE. </t>
        </r>
        <r>
          <rPr>
            <b/>
            <sz val="9"/>
            <color indexed="81"/>
            <rFont val="Tahoma"/>
            <family val="2"/>
          </rPr>
          <t xml:space="preserve">
</t>
        </r>
      </text>
    </comment>
    <comment ref="I187" authorId="0" shapeId="0">
      <text>
        <r>
          <rPr>
            <b/>
            <sz val="9"/>
            <color indexed="81"/>
            <rFont val="Marianne Light"/>
            <family val="3"/>
          </rPr>
          <t>Calcul du Cep</t>
        </r>
      </text>
    </comment>
    <comment ref="B191" authorId="0" shapeId="0">
      <text>
        <r>
          <rPr>
            <sz val="9"/>
            <color indexed="81"/>
            <rFont val="Marianne Light"/>
            <family val="3"/>
          </rPr>
          <t>Le bénéficiaire a prévu de mettre en place une instrumentation destinée à assurer le suivi du fonctionnement et des performances des installations pendant toute la durée de leur exploitation. Il en assurera obligatoirement les frais d’entretien et s’assurera de la validité des données mesurées.
Cette instrumentation devra être suffisante pour permettre la mesure de la quantité de chaleur Enr&amp;R injecté dans le réseau/ à la quantité totale de chaleur injectée (Pour mémoire, outre le comptage de production, le comptage d’énergie à chaque point de livraison est obligatoire : article 86 de la loi 2010-790 du grenelle 2).</t>
        </r>
        <r>
          <rPr>
            <sz val="9"/>
            <color indexed="81"/>
            <rFont val="Tahoma"/>
            <family val="2"/>
          </rPr>
          <t xml:space="preserve">
</t>
        </r>
      </text>
    </comment>
    <comment ref="B194" authorId="0" shapeId="0">
      <text>
        <r>
          <rPr>
            <sz val="9"/>
            <color indexed="81"/>
            <rFont val="Marianne Light"/>
            <family val="3"/>
          </rPr>
          <t>La chaudière biomasse mise en place est référencée dans la « base de données des chaudières petites et moyennes puissances éligibles au Fonds Chaleur » (lien cliquable BDD).  
Pour les projets de plus de 1200 MWh, parmi cette base, le maitre d’ouvrage devra retenir les installations dont les émissions de poussières respectent les critères d’éligibilité suivants : 45 mg/Nm3 à 6%O2 hors zone PPA et 30 mg/Nm3 à 6% d’O2 en zone PPA. 
En cas de recours à un système de dépoussiérage performant des fumées (à préciser), la valeur maximale d’émissions de poussières atteinte par l’installation devra être inférieure ou égale aux valeurs ci-dessus.</t>
        </r>
        <r>
          <rPr>
            <b/>
            <sz val="9"/>
            <color indexed="81"/>
            <rFont val="Tahoma"/>
            <family val="2"/>
          </rPr>
          <t xml:space="preserve">
</t>
        </r>
      </text>
    </comment>
    <comment ref="B195" authorId="0" shapeId="0">
      <text>
        <r>
          <rPr>
            <sz val="9"/>
            <color indexed="81"/>
            <rFont val="Marianne Light"/>
            <family val="3"/>
          </rPr>
          <t xml:space="preserve">Pour les NOx, le projet doit respecter les contraintes réglementaires nationales et/ou locales. 
</t>
        </r>
        <r>
          <rPr>
            <b/>
            <sz val="9"/>
            <color indexed="81"/>
            <rFont val="Marianne Light"/>
            <family val="3"/>
          </rPr>
          <t xml:space="preserve">
L’ADEME recommande d’anticiper les évolutions réglementaires et de respecter:</t>
        </r>
        <r>
          <rPr>
            <sz val="9"/>
            <color indexed="81"/>
            <rFont val="Marianne Light"/>
            <family val="3"/>
          </rPr>
          <t xml:space="preserve">
- un niveau de performance inférieur à 300 mg/Nm3 à 6% O2, atteignable avec les technologies disponibles sur le marché, pour les installations supérieures à 5MW ou situées en zone PPA.
- un niveau de performance inférieur à 500 mg/Nm3 à 6% O2, atteignable avec les technologies disponibles sur le marché, pour les installations inférieures ou égales à 5MW.
</t>
        </r>
      </text>
    </comment>
    <comment ref="B205" authorId="0" shapeId="0">
      <text>
        <r>
          <rPr>
            <sz val="14"/>
            <color indexed="81"/>
            <rFont val="Tahoma"/>
            <family val="2"/>
          </rPr>
          <t>Non compatible avec les aides CEE</t>
        </r>
      </text>
    </comment>
  </commentList>
</comments>
</file>

<file path=xl/comments8.xml><?xml version="1.0" encoding="utf-8"?>
<comments xmlns="http://schemas.openxmlformats.org/spreadsheetml/2006/main">
  <authors>
    <author>Florent CAVALIER - CETE Apave Nord-Ouest</author>
    <author>CETE Apave Nord-Ouest</author>
    <author>ADEME</author>
    <author>CARDONA MAESTRO Astrid</author>
    <author>vuchotl</author>
    <author>GUEHL Marie</author>
    <author>duvillierjl</author>
    <author>bordebeures</author>
  </authors>
  <commentList>
    <comment ref="E20" authorId="0" shapeId="0">
      <text>
        <r>
          <rPr>
            <b/>
            <sz val="9"/>
            <color indexed="81"/>
            <rFont val="Arial"/>
            <family val="2"/>
          </rPr>
          <t xml:space="preserve">
Numéro</t>
        </r>
        <r>
          <rPr>
            <sz val="9"/>
            <color indexed="81"/>
            <rFont val="Arial"/>
            <family val="2"/>
          </rPr>
          <t xml:space="preserve"> de dossier</t>
        </r>
      </text>
    </comment>
    <comment ref="F20" authorId="0" shapeId="0">
      <text>
        <r>
          <rPr>
            <b/>
            <sz val="9"/>
            <color indexed="81"/>
            <rFont val="Arial"/>
            <family val="2"/>
          </rPr>
          <t xml:space="preserve">
Date</t>
        </r>
        <r>
          <rPr>
            <sz val="9"/>
            <color indexed="81"/>
            <rFont val="Arial"/>
            <family val="2"/>
          </rPr>
          <t xml:space="preserve"> d'enregistrement du dossier</t>
        </r>
      </text>
    </comment>
    <comment ref="D22" authorId="1" shapeId="0">
      <text>
        <r>
          <rPr>
            <b/>
            <sz val="9"/>
            <color indexed="81"/>
            <rFont val="Tahoma"/>
            <family val="2"/>
          </rPr>
          <t xml:space="preserve">Le type d'entreprise et le type d'activité économique/non économique influent sur la valeur du plafond européen du cumul des aides publiques
</t>
        </r>
        <r>
          <rPr>
            <sz val="9"/>
            <color indexed="81"/>
            <rFont val="Tahoma"/>
            <family val="2"/>
          </rPr>
          <t xml:space="preserve">
- </t>
        </r>
        <r>
          <rPr>
            <b/>
            <sz val="9"/>
            <color indexed="81"/>
            <rFont val="Tahoma"/>
            <family val="2"/>
          </rPr>
          <t>Petite</t>
        </r>
        <r>
          <rPr>
            <sz val="9"/>
            <color indexed="81"/>
            <rFont val="Tahoma"/>
            <family val="2"/>
          </rPr>
          <t xml:space="preserve"> entreprise : moins de 50 personnes et 10M€ de CA/an;
      plafond européen 65%.
- </t>
        </r>
        <r>
          <rPr>
            <b/>
            <sz val="9"/>
            <color indexed="81"/>
            <rFont val="Tahoma"/>
            <family val="2"/>
          </rPr>
          <t>Moyenne</t>
        </r>
        <r>
          <rPr>
            <sz val="9"/>
            <color indexed="81"/>
            <rFont val="Tahoma"/>
            <family val="2"/>
          </rPr>
          <t xml:space="preserve"> entreprise : moins de 250 personnes et 50M€ de CA/an;
      plafond européen 55%.
- </t>
        </r>
        <r>
          <rPr>
            <b/>
            <sz val="9"/>
            <color indexed="81"/>
            <rFont val="Tahoma"/>
            <family val="2"/>
          </rPr>
          <t>Grande</t>
        </r>
        <r>
          <rPr>
            <sz val="9"/>
            <color indexed="81"/>
            <rFont val="Tahoma"/>
            <family val="2"/>
          </rPr>
          <t xml:space="preserve"> entreprise : plus de 250 personnes et 50M€ de CA/an;
      plafond européen 45%.
- A</t>
        </r>
        <r>
          <rPr>
            <b/>
            <sz val="9"/>
            <color indexed="81"/>
            <rFont val="Tahoma"/>
            <family val="2"/>
          </rPr>
          <t xml:space="preserve">ctivité non économique </t>
        </r>
        <r>
          <rPr>
            <sz val="9"/>
            <color indexed="81"/>
            <rFont val="Tahoma"/>
            <family val="2"/>
          </rPr>
          <t>: plafond européen 65%.</t>
        </r>
      </text>
    </comment>
    <comment ref="E27" authorId="0" shapeId="0">
      <text>
        <r>
          <rPr>
            <sz val="9"/>
            <color indexed="81"/>
            <rFont val="Tahoma"/>
            <family val="2"/>
          </rPr>
          <t>Si plusieurs PAC, indiquer les puissances tel que : 155 + 220.
Pour une PAC de 155 et une autre de 220 kw.</t>
        </r>
      </text>
    </comment>
    <comment ref="D28" authorId="1" shapeId="0">
      <text>
        <r>
          <rPr>
            <b/>
            <sz val="9"/>
            <color indexed="81"/>
            <rFont val="Tahoma"/>
            <family val="2"/>
          </rPr>
          <t>COP</t>
        </r>
        <r>
          <rPr>
            <sz val="9"/>
            <color indexed="81"/>
            <rFont val="Tahoma"/>
            <family val="2"/>
          </rPr>
          <t xml:space="preserve"> de la machine aux </t>
        </r>
        <r>
          <rPr>
            <b/>
            <sz val="9"/>
            <color indexed="81"/>
            <rFont val="Tahoma"/>
            <family val="2"/>
          </rPr>
          <t>conditions d'application</t>
        </r>
        <r>
          <rPr>
            <sz val="9"/>
            <color indexed="81"/>
            <rFont val="Tahoma"/>
            <family val="2"/>
          </rPr>
          <t xml:space="preserve"> prévues, car les températures côté de l'utilisation et nappe, sont souvent différentes d'un projet à l'autre.
On considère ce </t>
        </r>
        <r>
          <rPr>
            <b/>
            <sz val="9"/>
            <color indexed="81"/>
            <rFont val="Tahoma"/>
            <family val="2"/>
          </rPr>
          <t>COP comme constant</t>
        </r>
        <r>
          <rPr>
            <sz val="9"/>
            <color indexed="81"/>
            <rFont val="Tahoma"/>
            <family val="2"/>
          </rPr>
          <t xml:space="preserve"> tout au long du fonctionnement, car dans les cas existants, il varie peu et il est très souvent en-dehors de l'estimation.</t>
        </r>
      </text>
    </comment>
    <comment ref="D29" authorId="1" shapeId="0">
      <text>
        <r>
          <rPr>
            <b/>
            <sz val="10"/>
            <color indexed="81"/>
            <rFont val="Tahoma"/>
            <family val="2"/>
          </rPr>
          <t xml:space="preserve">
               </t>
        </r>
        <r>
          <rPr>
            <b/>
            <u/>
            <sz val="10"/>
            <color indexed="81"/>
            <rFont val="Tahoma"/>
            <family val="2"/>
          </rPr>
          <t>Suivant Norme EN 14511 et Arrêté du 03 05 07 :</t>
        </r>
        <r>
          <rPr>
            <sz val="9"/>
            <color indexed="81"/>
            <rFont val="Tahoma"/>
            <family val="2"/>
          </rPr>
          <t xml:space="preserve">
</t>
        </r>
        <r>
          <rPr>
            <b/>
            <sz val="9"/>
            <color indexed="81"/>
            <rFont val="Tahoma"/>
            <family val="2"/>
          </rPr>
          <t xml:space="preserve">
PAC eau-eau sur nappe avec ou sans échangeur de barrage </t>
        </r>
        <r>
          <rPr>
            <sz val="9"/>
            <color indexed="81"/>
            <rFont val="Tahoma"/>
            <family val="2"/>
          </rPr>
          <t xml:space="preserve">Régime </t>
        </r>
        <r>
          <rPr>
            <b/>
            <sz val="9"/>
            <color indexed="81"/>
            <rFont val="Tahoma"/>
            <family val="2"/>
          </rPr>
          <t>30/35 °C</t>
        </r>
        <r>
          <rPr>
            <sz val="9"/>
            <color indexed="81"/>
            <rFont val="Tahoma"/>
            <family val="2"/>
          </rPr>
          <t xml:space="preserve"> et </t>
        </r>
        <r>
          <rPr>
            <b/>
            <sz val="9"/>
            <color indexed="81"/>
            <rFont val="Tahoma"/>
            <family val="2"/>
          </rPr>
          <t>10 / 7°C</t>
        </r>
        <r>
          <rPr>
            <sz val="9"/>
            <color indexed="81"/>
            <rFont val="Tahoma"/>
            <family val="2"/>
          </rPr>
          <t xml:space="preserve"> : fournir la fiche de performance du constructeur </t>
        </r>
        <r>
          <rPr>
            <b/>
            <sz val="9"/>
            <color indexed="81"/>
            <rFont val="Tahoma"/>
            <family val="2"/>
          </rPr>
          <t>avec COP</t>
        </r>
        <r>
          <rPr>
            <sz val="9"/>
            <color indexed="81"/>
            <rFont val="Tahoma"/>
            <family val="2"/>
          </rPr>
          <t>.</t>
        </r>
        <r>
          <rPr>
            <b/>
            <sz val="9"/>
            <color indexed="81"/>
            <rFont val="Tahoma"/>
            <family val="2"/>
          </rPr>
          <t xml:space="preserve">
</t>
        </r>
        <r>
          <rPr>
            <b/>
            <u/>
            <sz val="9"/>
            <color indexed="81"/>
            <rFont val="Tahoma"/>
            <family val="2"/>
          </rPr>
          <t>La fiche fournie devra correspondre au(x) modèle(s) et options de la (des) machine(s) prévue(s) au projet.</t>
        </r>
      </text>
    </comment>
    <comment ref="D31" authorId="1" shapeId="0">
      <text>
        <r>
          <rPr>
            <sz val="9"/>
            <color indexed="81"/>
            <rFont val="Tahoma"/>
            <family val="2"/>
          </rPr>
          <t>Valeur à prendre en compte par rapport à la puissance EnR souhaitée.
L'eau de réinjection ne doit pas revenir directement au pompage, sinon la température chutera rapidement jusqu'à l'</t>
        </r>
        <r>
          <rPr>
            <b/>
            <sz val="9"/>
            <color indexed="81"/>
            <rFont val="Tahoma"/>
            <family val="2"/>
          </rPr>
          <t>arrêt complet en sécurité.</t>
        </r>
        <r>
          <rPr>
            <sz val="9"/>
            <color indexed="81"/>
            <rFont val="Tahoma"/>
            <family val="2"/>
          </rPr>
          <t xml:space="preserve">
De plus,</t>
        </r>
        <r>
          <rPr>
            <b/>
            <sz val="9"/>
            <color indexed="81"/>
            <rFont val="Tahoma"/>
            <family val="2"/>
          </rPr>
          <t xml:space="preserve"> la réinjection doit être en aval du pompage </t>
        </r>
        <r>
          <rPr>
            <sz val="9"/>
            <color indexed="81"/>
            <rFont val="Tahoma"/>
            <family val="2"/>
          </rPr>
          <t>dans le sens de l'écoulement souterrain.</t>
        </r>
      </text>
    </comment>
    <comment ref="D32" authorId="0" shapeId="0">
      <text>
        <r>
          <rPr>
            <sz val="9"/>
            <color indexed="81"/>
            <rFont val="Tahoma"/>
            <family val="2"/>
          </rPr>
          <t xml:space="preserve">Cette valeur doit correspondre à la </t>
        </r>
        <r>
          <rPr>
            <b/>
            <sz val="9"/>
            <color indexed="81"/>
            <rFont val="Tahoma"/>
            <family val="2"/>
          </rPr>
          <t>profondeur du forage</t>
        </r>
        <r>
          <rPr>
            <sz val="9"/>
            <color indexed="81"/>
            <rFont val="Tahoma"/>
            <family val="2"/>
          </rPr>
          <t xml:space="preserve"> et prendre en compte la </t>
        </r>
        <r>
          <rPr>
            <b/>
            <sz val="9"/>
            <color indexed="81"/>
            <rFont val="Tahoma"/>
            <family val="2"/>
          </rPr>
          <t>différence d'altitude</t>
        </r>
        <r>
          <rPr>
            <sz val="9"/>
            <color indexed="81"/>
            <rFont val="Tahoma"/>
            <family val="2"/>
          </rPr>
          <t xml:space="preserve"> entre le haut du forage et l'échangeur de barrage (ou de la PAC s'il n'y a pas d'échangeur intermédiaire).</t>
        </r>
      </text>
    </comment>
    <comment ref="D34" authorId="1" shapeId="0">
      <text>
        <r>
          <rPr>
            <sz val="9"/>
            <color indexed="81"/>
            <rFont val="Tahoma"/>
            <family val="2"/>
          </rPr>
          <t>Noter la distance entre la tête pompage (à la surface du terrain) et le local technique ou la PAC (soit l'aller retour divisé par 2).
S'il y a plusieurs forages de pompage, prendre la moyenne des distances.</t>
        </r>
      </text>
    </comment>
    <comment ref="D35" authorId="1" shapeId="0">
      <text>
        <r>
          <rPr>
            <sz val="9"/>
            <color indexed="81"/>
            <rFont val="Tahoma"/>
            <family val="2"/>
          </rPr>
          <t xml:space="preserve">Un échangeur de barrage est </t>
        </r>
        <r>
          <rPr>
            <b/>
            <sz val="9"/>
            <color indexed="81"/>
            <rFont val="Tahoma"/>
            <family val="2"/>
          </rPr>
          <t>placé entre la source EnR et la PAC</t>
        </r>
        <r>
          <rPr>
            <sz val="9"/>
            <color indexed="81"/>
            <rFont val="Tahoma"/>
            <family val="2"/>
          </rPr>
          <t xml:space="preserve">.
</t>
        </r>
        <r>
          <rPr>
            <b/>
            <sz val="9"/>
            <color indexed="81"/>
            <rFont val="Tahoma"/>
            <family val="2"/>
          </rPr>
          <t>Il a pour but de protéger l'évaporateur</t>
        </r>
        <r>
          <rPr>
            <sz val="9"/>
            <color indexed="81"/>
            <rFont val="Tahoma"/>
            <family val="2"/>
          </rPr>
          <t xml:space="preserve"> (en fonctionnement chauffage) ou le condenseur (en fonctionnement froid) des agressions de l'eau venant de l'aquifère (car il coûte moins cher et s'il casse les conséquences sont beaucoup moins grave.s)</t>
        </r>
      </text>
    </comment>
    <comment ref="D38" authorId="2" shapeId="0">
      <text>
        <r>
          <rPr>
            <b/>
            <sz val="8"/>
            <color indexed="81"/>
            <rFont val="Tahoma"/>
            <family val="2"/>
          </rPr>
          <t>ADEME:</t>
        </r>
        <r>
          <rPr>
            <sz val="8"/>
            <color indexed="81"/>
            <rFont val="Tahoma"/>
            <family val="2"/>
          </rPr>
          <t xml:space="preserve">
Equivalent à la production utile sortie PAC en mode chauffage</t>
        </r>
      </text>
    </comment>
    <comment ref="E41" authorId="0" shapeId="0">
      <text>
        <r>
          <rPr>
            <sz val="9"/>
            <color indexed="81"/>
            <rFont val="Tahoma"/>
            <family val="2"/>
          </rPr>
          <t>Peut-être remplacée par la valeur calculée par le BET.</t>
        </r>
      </text>
    </comment>
    <comment ref="E42" authorId="1" shapeId="0">
      <text>
        <r>
          <rPr>
            <b/>
            <u/>
            <sz val="9"/>
            <color indexed="81"/>
            <rFont val="Tahoma"/>
            <family val="2"/>
          </rPr>
          <t>Puissance absorbée pompe(s) côté source froide :</t>
        </r>
        <r>
          <rPr>
            <sz val="9"/>
            <color indexed="81"/>
            <rFont val="Tahoma"/>
            <family val="2"/>
          </rPr>
          <t xml:space="preserve">
</t>
        </r>
        <r>
          <rPr>
            <b/>
            <sz val="9"/>
            <color indexed="81"/>
            <rFont val="Tahoma"/>
            <family val="2"/>
          </rPr>
          <t>Pompe forage :</t>
        </r>
        <r>
          <rPr>
            <sz val="9"/>
            <color indexed="81"/>
            <rFont val="Tahoma"/>
            <family val="2"/>
          </rPr>
          <t xml:space="preserve">
</t>
        </r>
        <r>
          <rPr>
            <b/>
            <sz val="9"/>
            <color indexed="81"/>
            <rFont val="Tahoma"/>
            <family val="2"/>
          </rPr>
          <t>Estimatif</t>
        </r>
        <r>
          <rPr>
            <sz val="9"/>
            <color indexed="81"/>
            <rFont val="Tahoma"/>
            <family val="2"/>
          </rPr>
          <t xml:space="preserve"> de consommation annuelle basé sur une durée arbitraire de </t>
        </r>
        <r>
          <rPr>
            <b/>
            <sz val="9"/>
            <color indexed="81"/>
            <rFont val="Tahoma"/>
            <family val="2"/>
          </rPr>
          <t>2000 h</t>
        </r>
        <r>
          <rPr>
            <sz val="9"/>
            <color indexed="81"/>
            <rFont val="Tahoma"/>
            <family val="2"/>
          </rPr>
          <t xml:space="preserve"> de fonctionnement de pompe / an, d'un Delta de température de </t>
        </r>
        <r>
          <rPr>
            <b/>
            <sz val="9"/>
            <color indexed="81"/>
            <rFont val="Tahoma"/>
            <family val="2"/>
          </rPr>
          <t>6K</t>
        </r>
        <r>
          <rPr>
            <sz val="9"/>
            <color indexed="81"/>
            <rFont val="Tahoma"/>
            <family val="2"/>
          </rPr>
          <t xml:space="preserve">, d'un rendement électrique et mécanique cumulé de </t>
        </r>
        <r>
          <rPr>
            <b/>
            <sz val="9"/>
            <color indexed="81"/>
            <rFont val="Tahoma"/>
            <family val="2"/>
          </rPr>
          <t>0,7</t>
        </r>
        <r>
          <rPr>
            <sz val="9"/>
            <color indexed="81"/>
            <rFont val="Tahoma"/>
            <family val="2"/>
          </rPr>
          <t xml:space="preserve">, de la </t>
        </r>
        <r>
          <rPr>
            <b/>
            <sz val="9"/>
            <color indexed="81"/>
            <rFont val="Tahoma"/>
            <family val="2"/>
          </rPr>
          <t>perte de charge</t>
        </r>
        <r>
          <rPr>
            <sz val="9"/>
            <color indexed="81"/>
            <rFont val="Tahoma"/>
            <family val="2"/>
          </rPr>
          <t xml:space="preserve"> réseau et échangeurs en tenant compte de la </t>
        </r>
        <r>
          <rPr>
            <b/>
            <sz val="9"/>
            <color indexed="81"/>
            <rFont val="Tahoma"/>
            <family val="2"/>
          </rPr>
          <t>hauteur</t>
        </r>
        <r>
          <rPr>
            <sz val="9"/>
            <color indexed="81"/>
            <rFont val="Tahoma"/>
            <family val="2"/>
          </rPr>
          <t xml:space="preserve"> en cellule </t>
        </r>
        <r>
          <rPr>
            <b/>
            <sz val="9"/>
            <color indexed="81"/>
            <rFont val="Tahoma"/>
            <family val="2"/>
          </rPr>
          <t>C32</t>
        </r>
        <r>
          <rPr>
            <sz val="9"/>
            <color indexed="81"/>
            <rFont val="Tahoma"/>
            <family val="2"/>
          </rPr>
          <t xml:space="preserve">.
</t>
        </r>
        <r>
          <rPr>
            <b/>
            <sz val="9"/>
            <color indexed="81"/>
            <rFont val="Tahoma"/>
            <family val="2"/>
          </rPr>
          <t xml:space="preserve">Plus : s'il y a présence d'un échangeur de barrage : </t>
        </r>
        <r>
          <rPr>
            <sz val="9"/>
            <color indexed="81"/>
            <rFont val="Tahoma"/>
            <family val="2"/>
          </rPr>
          <t xml:space="preserve">
Pompe circuit fermé échangeur à la PAC, la cellule calcul l'estimatif de consommation annuelle basé sur une durée arbitraire de </t>
        </r>
        <r>
          <rPr>
            <b/>
            <sz val="9"/>
            <color indexed="81"/>
            <rFont val="Tahoma"/>
            <family val="2"/>
          </rPr>
          <t>2000 h</t>
        </r>
        <r>
          <rPr>
            <sz val="9"/>
            <color indexed="81"/>
            <rFont val="Tahoma"/>
            <family val="2"/>
          </rPr>
          <t xml:space="preserve"> de fonctionnement de pompe / an, d'un Delta de température de </t>
        </r>
        <r>
          <rPr>
            <b/>
            <sz val="9"/>
            <color indexed="81"/>
            <rFont val="Tahoma"/>
            <family val="2"/>
          </rPr>
          <t>5K</t>
        </r>
        <r>
          <rPr>
            <sz val="9"/>
            <color indexed="81"/>
            <rFont val="Tahoma"/>
            <family val="2"/>
          </rPr>
          <t xml:space="preserve">, d'un rendement électrique et mécanique cumulé de </t>
        </r>
        <r>
          <rPr>
            <b/>
            <sz val="9"/>
            <color indexed="81"/>
            <rFont val="Tahoma"/>
            <family val="2"/>
          </rPr>
          <t>0,65</t>
        </r>
        <r>
          <rPr>
            <sz val="9"/>
            <color indexed="81"/>
            <rFont val="Tahoma"/>
            <family val="2"/>
          </rPr>
          <t>, de la perte de charge réseau et des</t>
        </r>
        <r>
          <rPr>
            <b/>
            <sz val="9"/>
            <color indexed="81"/>
            <rFont val="Tahoma"/>
            <family val="2"/>
          </rPr>
          <t xml:space="preserve"> 2 échangeurs (1,6 bar) </t>
        </r>
        <r>
          <rPr>
            <sz val="9"/>
            <color indexed="81"/>
            <rFont val="Tahoma"/>
            <family val="2"/>
          </rPr>
          <t xml:space="preserve">en tenant compte de la présence de </t>
        </r>
        <r>
          <rPr>
            <b/>
            <sz val="9"/>
            <color indexed="81"/>
            <rFont val="Tahoma"/>
            <family val="2"/>
          </rPr>
          <t xml:space="preserve">glycol.
</t>
        </r>
        <r>
          <rPr>
            <b/>
            <sz val="10"/>
            <color indexed="81"/>
            <rFont val="Tahoma"/>
            <family val="2"/>
          </rPr>
          <t xml:space="preserve"> </t>
        </r>
        <r>
          <rPr>
            <b/>
            <u/>
            <sz val="10"/>
            <color indexed="81"/>
            <rFont val="Tahoma"/>
            <family val="2"/>
          </rPr>
          <t xml:space="preserve">  Peut-être remplacée par la valeur calculée par le BET.  </t>
        </r>
      </text>
    </comment>
    <comment ref="F44" authorId="0" shapeId="0">
      <text>
        <r>
          <rPr>
            <b/>
            <sz val="9"/>
            <color indexed="81"/>
            <rFont val="Tahoma"/>
            <family val="2"/>
          </rPr>
          <t xml:space="preserve">Suivant l'étude comparative : 
</t>
        </r>
        <r>
          <rPr>
            <sz val="9"/>
            <color indexed="81"/>
            <rFont val="Tahoma"/>
            <family val="2"/>
          </rPr>
          <t xml:space="preserve">
La meilleure des solutions est à sélectionner face à la géothermie.</t>
        </r>
      </text>
    </comment>
    <comment ref="G44" authorId="0" shapeId="0">
      <text>
        <r>
          <rPr>
            <sz val="9"/>
            <color indexed="81"/>
            <rFont val="Tahoma"/>
            <family val="2"/>
          </rPr>
          <t>En règle générale, l'appoint au chauffage et en ECS sont de même nature.</t>
        </r>
      </text>
    </comment>
    <comment ref="E46" authorId="0" shapeId="0">
      <text>
        <r>
          <rPr>
            <b/>
            <sz val="9"/>
            <color indexed="81"/>
            <rFont val="Tahoma"/>
            <family val="2"/>
          </rPr>
          <t>Attention :</t>
        </r>
        <r>
          <rPr>
            <sz val="9"/>
            <color indexed="81"/>
            <rFont val="Tahoma"/>
            <family val="2"/>
          </rPr>
          <t xml:space="preserve">
Habituellement, le rendement d'une chaudière principale est meilleur que celle d’appoint.</t>
        </r>
      </text>
    </comment>
    <comment ref="D51" authorId="1" shapeId="0">
      <text>
        <r>
          <rPr>
            <b/>
            <sz val="9"/>
            <color indexed="81"/>
            <rFont val="Tahoma"/>
            <family val="2"/>
          </rPr>
          <t xml:space="preserve">- 1ère cellule (géothermie) : </t>
        </r>
        <r>
          <rPr>
            <sz val="9"/>
            <color indexed="81"/>
            <rFont val="Tahoma"/>
            <family val="2"/>
          </rPr>
          <t xml:space="preserve">
Cette valeur comprend l'ensemble de la production d'ECS sur l'année. Soit un fonctionnement de la PAC en (chaud + ECS+ appoint) et une production d'ECS seule en été ou ECS + climatisation.
Cette valeur correspond normalement à </t>
        </r>
        <r>
          <rPr>
            <b/>
            <sz val="9"/>
            <color indexed="81"/>
            <rFont val="Tahoma"/>
            <family val="2"/>
          </rPr>
          <t>une préchauffe d'eau froide</t>
        </r>
        <r>
          <rPr>
            <sz val="9"/>
            <color indexed="81"/>
            <rFont val="Tahoma"/>
            <family val="2"/>
          </rPr>
          <t xml:space="preserve"> avant complément. (température d'ECS pas assez chaude avec une PAC)
</t>
        </r>
        <r>
          <rPr>
            <b/>
            <sz val="9"/>
            <color indexed="81"/>
            <rFont val="Tahoma"/>
            <family val="2"/>
          </rPr>
          <t>Remplir la valeur de production par la PAC + appoint sur l'année.</t>
        </r>
        <r>
          <rPr>
            <sz val="9"/>
            <color indexed="81"/>
            <rFont val="Tahoma"/>
            <family val="2"/>
          </rPr>
          <t xml:space="preserve">
</t>
        </r>
        <r>
          <rPr>
            <b/>
            <sz val="9"/>
            <color indexed="81"/>
            <rFont val="Tahoma"/>
            <family val="2"/>
          </rPr>
          <t xml:space="preserve">- 2ème cellule (solution de référence) : </t>
        </r>
        <r>
          <rPr>
            <sz val="9"/>
            <color indexed="81"/>
            <rFont val="Tahoma"/>
            <family val="2"/>
          </rPr>
          <t xml:space="preserve">
La valeur est égale à la</t>
        </r>
        <r>
          <rPr>
            <b/>
            <sz val="9"/>
            <color indexed="81"/>
            <rFont val="Tahoma"/>
            <family val="2"/>
          </rPr>
          <t xml:space="preserve"> 1ère cellule</t>
        </r>
        <r>
          <rPr>
            <sz val="9"/>
            <color indexed="81"/>
            <rFont val="Tahoma"/>
            <family val="2"/>
          </rPr>
          <t xml:space="preserve"> à la géothermie pour comparer la même production.</t>
        </r>
      </text>
    </comment>
    <comment ref="D52" authorId="1" shapeId="0">
      <text>
        <r>
          <rPr>
            <sz val="9"/>
            <color indexed="81"/>
            <rFont val="Tahoma"/>
            <family val="2"/>
          </rPr>
          <t>Cette valeur sert à comptabiliser les auxiliaires sans les prendre en compte plusieurs fois.</t>
        </r>
      </text>
    </comment>
    <comment ref="D54" authorId="0" shapeId="0">
      <text>
        <r>
          <rPr>
            <sz val="9"/>
            <color indexed="81"/>
            <rFont val="Tahoma"/>
            <family val="2"/>
          </rPr>
          <t>Consommation de lla pompe sur la source froide et du circulateur circuit chauffe ECS.</t>
        </r>
      </text>
    </comment>
    <comment ref="E54" authorId="1" shapeId="0">
      <text>
        <r>
          <rPr>
            <b/>
            <sz val="9"/>
            <color indexed="81"/>
            <rFont val="Tahoma"/>
            <family val="2"/>
          </rPr>
          <t>Puissances absorbées</t>
        </r>
        <r>
          <rPr>
            <sz val="9"/>
            <color indexed="81"/>
            <rFont val="Tahoma"/>
            <family val="2"/>
          </rPr>
          <t xml:space="preserve"> pompe sur ballon d'</t>
        </r>
        <r>
          <rPr>
            <b/>
            <sz val="9"/>
            <color indexed="81"/>
            <rFont val="Tahoma"/>
            <family val="2"/>
          </rPr>
          <t>ECS</t>
        </r>
        <r>
          <rPr>
            <sz val="9"/>
            <color indexed="81"/>
            <rFont val="Tahoma"/>
            <family val="2"/>
          </rPr>
          <t xml:space="preserve"> </t>
        </r>
        <r>
          <rPr>
            <b/>
            <sz val="9"/>
            <color indexed="81"/>
            <rFont val="Tahoma"/>
            <family val="2"/>
          </rPr>
          <t>+</t>
        </r>
        <r>
          <rPr>
            <sz val="9"/>
            <color indexed="81"/>
            <rFont val="Tahoma"/>
            <family val="2"/>
          </rPr>
          <t xml:space="preserve"> pompe(s) côté </t>
        </r>
        <r>
          <rPr>
            <b/>
            <sz val="9"/>
            <color indexed="81"/>
            <rFont val="Tahoma"/>
            <family val="2"/>
          </rPr>
          <t xml:space="preserve">source froide </t>
        </r>
        <r>
          <rPr>
            <sz val="9"/>
            <color indexed="81"/>
            <rFont val="Tahoma"/>
            <family val="2"/>
          </rPr>
          <t xml:space="preserve">hors fonctionnement chauffage (car déjà pris en compte ; pour cette raison SI(D51&gt;C38;"Cas particulier").
- Pour la </t>
        </r>
        <r>
          <rPr>
            <b/>
            <sz val="9"/>
            <color indexed="81"/>
            <rFont val="Tahoma"/>
            <family val="2"/>
          </rPr>
          <t>source froide</t>
        </r>
        <r>
          <rPr>
            <sz val="9"/>
            <color indexed="81"/>
            <rFont val="Tahoma"/>
            <family val="2"/>
          </rPr>
          <t xml:space="preserve"> entre l'échangeur et la PAC (si échangeur) : d'un Delta de température de </t>
        </r>
        <r>
          <rPr>
            <b/>
            <sz val="9"/>
            <color indexed="81"/>
            <rFont val="Tahoma"/>
            <family val="2"/>
          </rPr>
          <t>5K</t>
        </r>
        <r>
          <rPr>
            <sz val="9"/>
            <color indexed="81"/>
            <rFont val="Tahoma"/>
            <family val="2"/>
          </rPr>
          <t xml:space="preserve">, d'un rendement électrique et mécanique cumulé de </t>
        </r>
        <r>
          <rPr>
            <b/>
            <sz val="9"/>
            <color indexed="81"/>
            <rFont val="Tahoma"/>
            <family val="2"/>
          </rPr>
          <t>0,65</t>
        </r>
        <r>
          <rPr>
            <sz val="9"/>
            <color indexed="81"/>
            <rFont val="Tahoma"/>
            <family val="2"/>
          </rPr>
          <t xml:space="preserve">, de </t>
        </r>
        <r>
          <rPr>
            <b/>
            <sz val="9"/>
            <color indexed="81"/>
            <rFont val="Tahoma"/>
            <family val="2"/>
          </rPr>
          <t>1,6 bar</t>
        </r>
        <r>
          <rPr>
            <sz val="9"/>
            <color indexed="81"/>
            <rFont val="Tahoma"/>
            <family val="2"/>
          </rPr>
          <t xml:space="preserve"> de perte de charge réseau et échangeurs en tenant compte de la présence de </t>
        </r>
        <r>
          <rPr>
            <b/>
            <sz val="9"/>
            <color indexed="81"/>
            <rFont val="Tahoma"/>
            <family val="2"/>
          </rPr>
          <t xml:space="preserve">glycol.
- Plus </t>
        </r>
        <r>
          <rPr>
            <sz val="9"/>
            <color indexed="81"/>
            <rFont val="Tahoma"/>
            <family val="2"/>
          </rPr>
          <t xml:space="preserve">le pompage : Delta de température de </t>
        </r>
        <r>
          <rPr>
            <b/>
            <sz val="9"/>
            <color indexed="81"/>
            <rFont val="Tahoma"/>
            <family val="2"/>
          </rPr>
          <t>6K</t>
        </r>
        <r>
          <rPr>
            <sz val="9"/>
            <color indexed="81"/>
            <rFont val="Tahoma"/>
            <family val="2"/>
          </rPr>
          <t xml:space="preserve">, d'un rendement électrique et mécanique cumulé de </t>
        </r>
        <r>
          <rPr>
            <b/>
            <sz val="9"/>
            <color indexed="81"/>
            <rFont val="Tahoma"/>
            <family val="2"/>
          </rPr>
          <t>0,7</t>
        </r>
        <r>
          <rPr>
            <sz val="9"/>
            <color indexed="81"/>
            <rFont val="Tahoma"/>
            <family val="2"/>
          </rPr>
          <t xml:space="preserve">, de </t>
        </r>
        <r>
          <rPr>
            <b/>
            <sz val="9"/>
            <color indexed="81"/>
            <rFont val="Tahoma"/>
            <family val="2"/>
          </rPr>
          <t xml:space="preserve">0,7 bar </t>
        </r>
        <r>
          <rPr>
            <sz val="9"/>
            <color indexed="81"/>
            <rFont val="Tahoma"/>
            <family val="2"/>
          </rPr>
          <t xml:space="preserve">de perte de charge réseau et échangeurs + la </t>
        </r>
        <r>
          <rPr>
            <b/>
            <sz val="9"/>
            <color indexed="81"/>
            <rFont val="Tahoma"/>
            <family val="2"/>
          </rPr>
          <t>profondeur de pompage</t>
        </r>
        <r>
          <rPr>
            <sz val="9"/>
            <color indexed="81"/>
            <rFont val="Tahoma"/>
            <family val="2"/>
          </rPr>
          <t xml:space="preserve"> en tenant compte de</t>
        </r>
        <r>
          <rPr>
            <b/>
            <sz val="9"/>
            <color indexed="81"/>
            <rFont val="Tahoma"/>
            <family val="2"/>
          </rPr>
          <t xml:space="preserve"> 2000 heures</t>
        </r>
        <r>
          <rPr>
            <sz val="9"/>
            <color indexed="81"/>
            <rFont val="Tahoma"/>
            <family val="2"/>
          </rPr>
          <t xml:space="preserve"> de fonctionnement.</t>
        </r>
        <r>
          <rPr>
            <b/>
            <sz val="9"/>
            <color indexed="81"/>
            <rFont val="Tahoma"/>
            <family val="2"/>
          </rPr>
          <t xml:space="preserve">
- </t>
        </r>
        <r>
          <rPr>
            <sz val="9"/>
            <color indexed="81"/>
            <rFont val="Tahoma"/>
            <family val="2"/>
          </rPr>
          <t xml:space="preserve">Pour le </t>
        </r>
        <r>
          <rPr>
            <b/>
            <sz val="9"/>
            <color indexed="81"/>
            <rFont val="Tahoma"/>
            <family val="2"/>
          </rPr>
          <t>Circulateur côté condenseur</t>
        </r>
        <r>
          <rPr>
            <sz val="9"/>
            <color indexed="81"/>
            <rFont val="Tahoma"/>
            <family val="2"/>
          </rPr>
          <t xml:space="preserve"> ballon d'ECS : d'un Delta de température de </t>
        </r>
        <r>
          <rPr>
            <b/>
            <sz val="9"/>
            <color indexed="81"/>
            <rFont val="Tahoma"/>
            <family val="2"/>
          </rPr>
          <t>10K</t>
        </r>
        <r>
          <rPr>
            <sz val="9"/>
            <color indexed="81"/>
            <rFont val="Tahoma"/>
            <family val="2"/>
          </rPr>
          <t xml:space="preserve">, d'un rendement électrique et mécanique cumulé de </t>
        </r>
        <r>
          <rPr>
            <b/>
            <sz val="9"/>
            <color indexed="81"/>
            <rFont val="Tahoma"/>
            <family val="2"/>
          </rPr>
          <t xml:space="preserve">0,65 </t>
        </r>
        <r>
          <rPr>
            <sz val="9"/>
            <color indexed="81"/>
            <rFont val="Tahoma"/>
            <family val="2"/>
          </rPr>
          <t xml:space="preserve">et d' </t>
        </r>
        <r>
          <rPr>
            <b/>
            <sz val="9"/>
            <color indexed="81"/>
            <rFont val="Tahoma"/>
            <family val="2"/>
          </rPr>
          <t>1,5 bar</t>
        </r>
        <r>
          <rPr>
            <sz val="9"/>
            <color indexed="81"/>
            <rFont val="Tahoma"/>
            <family val="2"/>
          </rPr>
          <t xml:space="preserve"> de perte de charge réseau.
</t>
        </r>
        <r>
          <rPr>
            <b/>
            <sz val="9"/>
            <color indexed="81"/>
            <rFont val="Tahoma"/>
            <family val="2"/>
          </rPr>
          <t xml:space="preserve">
</t>
        </r>
        <r>
          <rPr>
            <sz val="9"/>
            <color indexed="81"/>
            <rFont val="Tahoma"/>
            <family val="2"/>
          </rPr>
          <t xml:space="preserve">
Valeur calculée mais qui peut </t>
        </r>
        <r>
          <rPr>
            <b/>
            <sz val="9"/>
            <color indexed="81"/>
            <rFont val="Tahoma"/>
            <family val="2"/>
          </rPr>
          <t xml:space="preserve">être remplacée par celle du BET </t>
        </r>
        <r>
          <rPr>
            <sz val="9"/>
            <color indexed="81"/>
            <rFont val="Tahoma"/>
            <family val="2"/>
          </rPr>
          <t>si elle est disponible</t>
        </r>
      </text>
    </comment>
    <comment ref="E55" authorId="0" shapeId="0">
      <text>
        <r>
          <rPr>
            <sz val="9"/>
            <color indexed="81"/>
            <rFont val="Tahoma"/>
            <family val="2"/>
          </rPr>
          <t>S'il y a un appoint sur le chauffage, en règle général,</t>
        </r>
        <r>
          <rPr>
            <b/>
            <sz val="9"/>
            <color indexed="81"/>
            <rFont val="Tahoma"/>
            <family val="2"/>
          </rPr>
          <t xml:space="preserve"> l'appoint ECS est le même.
</t>
        </r>
      </text>
    </comment>
    <comment ref="D58" authorId="0" shapeId="0">
      <text>
        <r>
          <rPr>
            <sz val="9"/>
            <color indexed="81"/>
            <rFont val="Tahoma"/>
            <family val="2"/>
          </rPr>
          <t xml:space="preserve">Pour un </t>
        </r>
        <r>
          <rPr>
            <b/>
            <sz val="9"/>
            <color indexed="81"/>
            <rFont val="Tahoma"/>
            <family val="2"/>
          </rPr>
          <t xml:space="preserve">appoint électrique, le rendement </t>
        </r>
        <r>
          <rPr>
            <sz val="9"/>
            <color indexed="81"/>
            <rFont val="Tahoma"/>
            <family val="2"/>
          </rPr>
          <t xml:space="preserve">est considéré arbitrairement à </t>
        </r>
        <r>
          <rPr>
            <b/>
            <sz val="9"/>
            <color indexed="81"/>
            <rFont val="Tahoma"/>
            <family val="2"/>
          </rPr>
          <t>100%</t>
        </r>
        <r>
          <rPr>
            <sz val="9"/>
            <color indexed="81"/>
            <rFont val="Tahoma"/>
            <family val="2"/>
          </rPr>
          <t xml:space="preserve">  pour une bonne prise en compte des calculs.</t>
        </r>
      </text>
    </comment>
    <comment ref="E58" authorId="0" shapeId="0">
      <text>
        <r>
          <rPr>
            <sz val="9"/>
            <color indexed="81"/>
            <rFont val="Tahoma"/>
            <family val="2"/>
          </rPr>
          <t xml:space="preserve">Pour un </t>
        </r>
        <r>
          <rPr>
            <b/>
            <sz val="9"/>
            <color indexed="81"/>
            <rFont val="Tahoma"/>
            <family val="2"/>
          </rPr>
          <t>appoint électrique, le rendement</t>
        </r>
        <r>
          <rPr>
            <sz val="9"/>
            <color indexed="81"/>
            <rFont val="Tahoma"/>
            <family val="2"/>
          </rPr>
          <t xml:space="preserve"> est considéré arbitrairement à </t>
        </r>
        <r>
          <rPr>
            <b/>
            <sz val="9"/>
            <color indexed="81"/>
            <rFont val="Tahoma"/>
            <family val="2"/>
          </rPr>
          <t>100%</t>
        </r>
        <r>
          <rPr>
            <sz val="9"/>
            <color indexed="81"/>
            <rFont val="Tahoma"/>
            <family val="2"/>
          </rPr>
          <t xml:space="preserve">  pour une bonne prise en compte des calculs.</t>
        </r>
      </text>
    </comment>
    <comment ref="G58" authorId="0" shapeId="0">
      <text>
        <r>
          <rPr>
            <sz val="9"/>
            <color indexed="81"/>
            <rFont val="Tahoma"/>
            <family val="2"/>
          </rPr>
          <t xml:space="preserve">Si la PAC ne produit pas de ECS, les valeurs doivent rester à </t>
        </r>
        <r>
          <rPr>
            <b/>
            <sz val="9"/>
            <color indexed="81"/>
            <rFont val="Tahoma"/>
            <family val="2"/>
          </rPr>
          <t>zéro.</t>
        </r>
      </text>
    </comment>
    <comment ref="E61" authorId="0" shapeId="0">
      <text>
        <r>
          <rPr>
            <sz val="9"/>
            <color indexed="81"/>
            <rFont val="Tahoma"/>
            <family val="2"/>
          </rPr>
          <t xml:space="preserve">Valeur calculée mais qui </t>
        </r>
        <r>
          <rPr>
            <b/>
            <sz val="9"/>
            <color indexed="81"/>
            <rFont val="Tahoma"/>
            <family val="2"/>
          </rPr>
          <t xml:space="preserve">peut être remplacée par celle du BET </t>
        </r>
        <r>
          <rPr>
            <sz val="9"/>
            <color indexed="81"/>
            <rFont val="Tahoma"/>
            <family val="2"/>
          </rPr>
          <t>si elle est disponible.</t>
        </r>
      </text>
    </comment>
    <comment ref="D65" authorId="1" shapeId="0">
      <text>
        <r>
          <rPr>
            <b/>
            <sz val="9"/>
            <color indexed="81"/>
            <rFont val="Tahoma"/>
            <family val="2"/>
          </rPr>
          <t xml:space="preserve">
</t>
        </r>
        <r>
          <rPr>
            <b/>
            <u/>
            <sz val="9"/>
            <color indexed="81"/>
            <rFont val="Tahoma"/>
            <family val="2"/>
          </rPr>
          <t xml:space="preserve">Cellule géothermie est égale à :
</t>
        </r>
        <r>
          <rPr>
            <sz val="8"/>
            <color indexed="81"/>
            <rFont val="Tahoma"/>
            <family val="2"/>
          </rPr>
          <t xml:space="preserve">  </t>
        </r>
        <r>
          <rPr>
            <sz val="9"/>
            <color indexed="81"/>
            <rFont val="Tahoma"/>
            <family val="2"/>
          </rPr>
          <t xml:space="preserve">
- la puissance de froid produite par le </t>
        </r>
        <r>
          <rPr>
            <b/>
            <sz val="9"/>
            <color indexed="81"/>
            <rFont val="Tahoma"/>
            <family val="2"/>
          </rPr>
          <t xml:space="preserve">fonctionnement de la PAC </t>
        </r>
        <r>
          <rPr>
            <sz val="9"/>
            <color indexed="81"/>
            <rFont val="Tahoma"/>
            <family val="2"/>
          </rPr>
          <t xml:space="preserve">en mode </t>
        </r>
        <r>
          <rPr>
            <b/>
            <sz val="9"/>
            <color indexed="81"/>
            <rFont val="Tahoma"/>
            <family val="2"/>
          </rPr>
          <t>froid seul + thermofrigopompe + géocooling</t>
        </r>
        <r>
          <rPr>
            <sz val="9"/>
            <color indexed="81"/>
            <rFont val="Tahoma"/>
            <family val="2"/>
          </rPr>
          <t xml:space="preserve">
</t>
        </r>
        <r>
          <rPr>
            <b/>
            <u/>
            <sz val="9"/>
            <color indexed="81"/>
            <rFont val="Tahoma"/>
            <family val="2"/>
          </rPr>
          <t>Cellule de référence :</t>
        </r>
        <r>
          <rPr>
            <sz val="9"/>
            <color indexed="81"/>
            <rFont val="Tahoma"/>
            <family val="2"/>
          </rPr>
          <t xml:space="preserve">
</t>
        </r>
        <r>
          <rPr>
            <sz val="8"/>
            <color indexed="81"/>
            <rFont val="Tahoma"/>
            <family val="2"/>
          </rPr>
          <t xml:space="preserve">  </t>
        </r>
        <r>
          <rPr>
            <sz val="9"/>
            <color indexed="81"/>
            <rFont val="Tahoma"/>
            <family val="2"/>
          </rPr>
          <t xml:space="preserve">
- correspond à la comparaison de l'ensemble des puissances (froid seul, géocooling et froid simultané au chaud).</t>
        </r>
      </text>
    </comment>
    <comment ref="E65" authorId="1" shapeId="0">
      <text>
        <r>
          <rPr>
            <b/>
            <u/>
            <sz val="9"/>
            <color indexed="81"/>
            <rFont val="Tahoma"/>
            <family val="2"/>
          </rPr>
          <t xml:space="preserve">
Total</t>
        </r>
        <r>
          <rPr>
            <b/>
            <sz val="9"/>
            <color indexed="81"/>
            <rFont val="Tahoma"/>
            <family val="2"/>
          </rPr>
          <t xml:space="preserve"> de production froid 
</t>
        </r>
        <r>
          <rPr>
            <sz val="9"/>
            <color indexed="81"/>
            <rFont val="Tahoma"/>
            <family val="2"/>
          </rPr>
          <t>par la PAC + thermofrigopompe + géocooling :</t>
        </r>
        <r>
          <rPr>
            <b/>
            <sz val="9"/>
            <color indexed="81"/>
            <rFont val="Tahoma"/>
            <family val="2"/>
          </rPr>
          <t xml:space="preserve">
soit le besoin en froid</t>
        </r>
      </text>
    </comment>
    <comment ref="F65" authorId="1" shapeId="0">
      <text>
        <r>
          <rPr>
            <b/>
            <sz val="9"/>
            <color indexed="81"/>
            <rFont val="Tahoma"/>
            <family val="2"/>
          </rPr>
          <t>Puissance froide totale équivalente à la géothermie</t>
        </r>
        <r>
          <rPr>
            <sz val="9"/>
            <color indexed="81"/>
            <rFont val="Tahoma"/>
            <family val="2"/>
          </rPr>
          <t xml:space="preserve"> réalisée par une solution de référence (un groupe froid ou de la détente directe).
</t>
        </r>
      </text>
    </comment>
    <comment ref="D68" authorId="1" shapeId="0">
      <text>
        <r>
          <rPr>
            <sz val="9"/>
            <color indexed="81"/>
            <rFont val="Tahoma"/>
            <family val="2"/>
          </rPr>
          <t xml:space="preserve">
Possibilité de produire</t>
        </r>
        <r>
          <rPr>
            <b/>
            <sz val="9"/>
            <color indexed="81"/>
            <rFont val="Tahoma"/>
            <family val="2"/>
          </rPr>
          <t xml:space="preserve"> du chauffage et de la climatisation simultanément. 
                                    </t>
        </r>
        <r>
          <rPr>
            <b/>
            <sz val="10"/>
            <color indexed="81"/>
            <rFont val="Tahoma"/>
            <family val="2"/>
          </rPr>
          <t>THERMOFRIGOPOMPE</t>
        </r>
        <r>
          <rPr>
            <sz val="9"/>
            <color indexed="81"/>
            <rFont val="Tahoma"/>
            <family val="2"/>
          </rPr>
          <t xml:space="preserve">
Le chauffage fonctionne avec la PAC et au même moment, il y a utilisation de la source froide. Comme le(s) compresseur(s) fonctionnement(nt) déjà pour le chauffage, la puissance froide récupérée est gratuite.</t>
        </r>
      </text>
    </comment>
    <comment ref="D69" authorId="1" shapeId="0">
      <text>
        <r>
          <rPr>
            <sz val="9"/>
            <color indexed="81"/>
            <rFont val="Tahoma"/>
            <family val="2"/>
          </rPr>
          <t>Rafraîchissement réalisé par l'intermédiaire d'un échangeur sans fonctionnement du compresseur de la PAC.</t>
        </r>
      </text>
    </comment>
    <comment ref="E71" authorId="1" shapeId="0">
      <text>
        <r>
          <rPr>
            <b/>
            <sz val="9"/>
            <color indexed="81"/>
            <rFont val="Tahoma"/>
            <family val="2"/>
          </rPr>
          <t>Consommation annuelle</t>
        </r>
        <r>
          <rPr>
            <sz val="9"/>
            <color indexed="81"/>
            <rFont val="Tahoma"/>
            <family val="2"/>
          </rPr>
          <t xml:space="preserve"> de la PAC en fonctionnement </t>
        </r>
        <r>
          <rPr>
            <b/>
            <sz val="9"/>
            <color indexed="81"/>
            <rFont val="Tahoma"/>
            <family val="2"/>
          </rPr>
          <t>froid seul</t>
        </r>
        <r>
          <rPr>
            <sz val="9"/>
            <color indexed="81"/>
            <rFont val="Tahoma"/>
            <family val="2"/>
          </rPr>
          <t xml:space="preserve"> :
</t>
        </r>
        <r>
          <rPr>
            <b/>
            <sz val="9"/>
            <color indexed="81"/>
            <rFont val="Tahoma"/>
            <family val="2"/>
          </rPr>
          <t>EER à 4,5</t>
        </r>
        <r>
          <rPr>
            <sz val="9"/>
            <color indexed="81"/>
            <rFont val="Tahoma"/>
            <family val="2"/>
          </rPr>
          <t xml:space="preserve"> pris dans le calcul pour des régimes de 12/7 °C et 30/35 °C.
Valeur calculée mais qui peut être </t>
        </r>
        <r>
          <rPr>
            <b/>
            <sz val="9"/>
            <color indexed="81"/>
            <rFont val="Tahoma"/>
            <family val="2"/>
          </rPr>
          <t>remplacée par celle du BET</t>
        </r>
        <r>
          <rPr>
            <sz val="9"/>
            <color indexed="81"/>
            <rFont val="Tahoma"/>
            <family val="2"/>
          </rPr>
          <t xml:space="preserve"> si elle est disponible.</t>
        </r>
      </text>
    </comment>
    <comment ref="F71" authorId="1" shapeId="0">
      <text>
        <r>
          <rPr>
            <b/>
            <sz val="9"/>
            <color indexed="81"/>
            <rFont val="Tahoma"/>
            <family val="2"/>
          </rPr>
          <t>Consommation annuelle</t>
        </r>
        <r>
          <rPr>
            <sz val="9"/>
            <color indexed="81"/>
            <rFont val="Tahoma"/>
            <family val="2"/>
          </rPr>
          <t xml:space="preserve"> de la solution de référence :
</t>
        </r>
        <r>
          <rPr>
            <b/>
            <sz val="9"/>
            <color indexed="81"/>
            <rFont val="Tahoma"/>
            <family val="2"/>
          </rPr>
          <t>EER</t>
        </r>
        <r>
          <rPr>
            <sz val="9"/>
            <color indexed="81"/>
            <rFont val="Tahoma"/>
            <family val="2"/>
          </rPr>
          <t xml:space="preserve"> (COP froid) pris pour le calcul : </t>
        </r>
        <r>
          <rPr>
            <b/>
            <sz val="9"/>
            <color indexed="81"/>
            <rFont val="Tahoma"/>
            <family val="2"/>
          </rPr>
          <t xml:space="preserve">3,5
</t>
        </r>
        <r>
          <rPr>
            <sz val="9"/>
            <color indexed="81"/>
            <rFont val="Tahoma"/>
            <family val="2"/>
          </rPr>
          <t>Valeur calculée mais qui peut être</t>
        </r>
        <r>
          <rPr>
            <b/>
            <sz val="9"/>
            <color indexed="81"/>
            <rFont val="Tahoma"/>
            <family val="2"/>
          </rPr>
          <t xml:space="preserve"> remplacée par celle du BET</t>
        </r>
        <r>
          <rPr>
            <sz val="9"/>
            <color indexed="81"/>
            <rFont val="Tahoma"/>
            <family val="2"/>
          </rPr>
          <t xml:space="preserve"> si elle est disponible.</t>
        </r>
      </text>
    </comment>
    <comment ref="E72" authorId="1" shapeId="0">
      <text>
        <r>
          <rPr>
            <b/>
            <sz val="9"/>
            <color indexed="81"/>
            <rFont val="Tahoma"/>
            <family val="2"/>
          </rPr>
          <t>Estimatif de consommation annuelle</t>
        </r>
        <r>
          <rPr>
            <sz val="9"/>
            <color indexed="81"/>
            <rFont val="Tahoma"/>
            <family val="2"/>
          </rPr>
          <t xml:space="preserve"> pompe côté </t>
        </r>
        <r>
          <rPr>
            <b/>
            <sz val="9"/>
            <color indexed="81"/>
            <rFont val="Tahoma"/>
            <family val="2"/>
          </rPr>
          <t xml:space="preserve">source froide </t>
        </r>
        <r>
          <rPr>
            <sz val="9"/>
            <color indexed="81"/>
            <rFont val="Tahoma"/>
            <family val="2"/>
          </rPr>
          <t>en fonctionnement climatisation :</t>
        </r>
        <r>
          <rPr>
            <b/>
            <sz val="9"/>
            <color indexed="81"/>
            <rFont val="Tahoma"/>
            <family val="2"/>
          </rPr>
          <t xml:space="preserve">
</t>
        </r>
        <r>
          <rPr>
            <sz val="9"/>
            <color indexed="81"/>
            <rFont val="Tahoma"/>
            <family val="2"/>
          </rPr>
          <t xml:space="preserve">Si la production de </t>
        </r>
        <r>
          <rPr>
            <b/>
            <sz val="9"/>
            <color indexed="81"/>
            <rFont val="Tahoma"/>
            <family val="2"/>
          </rPr>
          <t>froid additionnée au géocooling</t>
        </r>
        <r>
          <rPr>
            <sz val="9"/>
            <color indexed="81"/>
            <rFont val="Tahoma"/>
            <family val="2"/>
          </rPr>
          <t xml:space="preserve"> est inférieure à la production de chauffage par la PAC, on calcul au prorata, sinon valeur arbitraire de 2100 heures.</t>
        </r>
        <r>
          <rPr>
            <b/>
            <sz val="9"/>
            <color indexed="81"/>
            <rFont val="Tahoma"/>
            <family val="2"/>
          </rPr>
          <t xml:space="preserve">
</t>
        </r>
        <r>
          <rPr>
            <sz val="9"/>
            <color indexed="81"/>
            <rFont val="Tahoma"/>
            <family val="2"/>
          </rPr>
          <t xml:space="preserve">
Valeur calculée mais qui peut être </t>
        </r>
        <r>
          <rPr>
            <b/>
            <sz val="9"/>
            <color indexed="81"/>
            <rFont val="Tahoma"/>
            <family val="2"/>
          </rPr>
          <t>remplacée par celle du BET</t>
        </r>
        <r>
          <rPr>
            <sz val="9"/>
            <color indexed="81"/>
            <rFont val="Tahoma"/>
            <family val="2"/>
          </rPr>
          <t xml:space="preserve"> si elle est disponible</t>
        </r>
      </text>
    </comment>
    <comment ref="E73" authorId="0" shapeId="0">
      <text>
        <r>
          <rPr>
            <sz val="9"/>
            <color indexed="81"/>
            <rFont val="Tahoma"/>
            <family val="2"/>
          </rPr>
          <t xml:space="preserve">Valeur calculée mais qui </t>
        </r>
        <r>
          <rPr>
            <b/>
            <sz val="9"/>
            <color indexed="81"/>
            <rFont val="Tahoma"/>
            <family val="2"/>
          </rPr>
          <t xml:space="preserve">peut être remplacée par celle du BET </t>
        </r>
        <r>
          <rPr>
            <sz val="9"/>
            <color indexed="81"/>
            <rFont val="Tahoma"/>
            <family val="2"/>
          </rPr>
          <t>si elle est disponible</t>
        </r>
      </text>
    </comment>
    <comment ref="D78" authorId="2" shapeId="0">
      <text>
        <r>
          <rPr>
            <b/>
            <sz val="8"/>
            <color indexed="81"/>
            <rFont val="Tahoma"/>
            <family val="2"/>
          </rPr>
          <t>ADEME:</t>
        </r>
        <r>
          <rPr>
            <sz val="8"/>
            <color indexed="81"/>
            <rFont val="Tahoma"/>
            <family val="2"/>
          </rPr>
          <t xml:space="preserve">
production géothermale entrée PAC</t>
        </r>
      </text>
    </comment>
    <comment ref="F84" authorId="3" shapeId="0">
      <text>
        <r>
          <rPr>
            <b/>
            <sz val="9"/>
            <color indexed="81"/>
            <rFont val="Tahoma"/>
            <family val="2"/>
          </rPr>
          <t>CARDONA MAESTRO Astrid:</t>
        </r>
        <r>
          <rPr>
            <sz val="9"/>
            <color indexed="81"/>
            <rFont val="Tahoma"/>
            <family val="2"/>
          </rPr>
          <t xml:space="preserve">
Total des investissements de la solution de référence pour la production de chaud et de froid le cas échéant</t>
        </r>
      </text>
    </comment>
    <comment ref="D85" authorId="1" shapeId="0">
      <text>
        <r>
          <rPr>
            <sz val="9"/>
            <color indexed="81"/>
            <rFont val="Tahoma"/>
            <family val="2"/>
          </rPr>
          <t>- Déclarations et autorisations,
- Forage test et analyse comportementale,
- Forage pompage et réinjection, pose de crépine, béton de surface, ...
- Raccordement, fourniture et pose des regards,
- Liaison têtes de forages au local technique ou PAC.</t>
        </r>
      </text>
    </comment>
    <comment ref="F86" authorId="3" shapeId="0">
      <text>
        <r>
          <rPr>
            <b/>
            <sz val="9"/>
            <color indexed="81"/>
            <rFont val="Tahoma"/>
            <family val="2"/>
          </rPr>
          <t>CARDONA MAESTRO Astrid:</t>
        </r>
        <r>
          <rPr>
            <sz val="9"/>
            <color indexed="81"/>
            <rFont val="Tahoma"/>
            <family val="2"/>
          </rPr>
          <t xml:space="preserve">
Formules issues de l'étude d'Ernst&amp;Young pour le gaz nat et le fuel. Si la solution de référence est une chaudière propane, rentrer la valeur fournie par le BE.
Dans le cas où les besoins en froid sont supérieurs ou égaux aux besoins en chaud, il n'y a plus de chaudière à énergie fossile mais un (des) groupe(s) froid(s) aérothermique(s)</t>
        </r>
      </text>
    </comment>
    <comment ref="E88" authorId="1" shapeId="0">
      <text>
        <r>
          <rPr>
            <sz val="9"/>
            <color indexed="81"/>
            <rFont val="Tahoma"/>
            <family val="2"/>
          </rPr>
          <t>Ce montant correspond à la</t>
        </r>
        <r>
          <rPr>
            <b/>
            <sz val="9"/>
            <color indexed="81"/>
            <rFont val="Tahoma"/>
            <family val="2"/>
          </rPr>
          <t xml:space="preserve"> plus value</t>
        </r>
        <r>
          <rPr>
            <sz val="9"/>
            <color indexed="81"/>
            <rFont val="Tahoma"/>
            <family val="2"/>
          </rPr>
          <t xml:space="preserve"> de la production </t>
        </r>
        <r>
          <rPr>
            <b/>
            <sz val="9"/>
            <color indexed="81"/>
            <rFont val="Tahoma"/>
            <family val="2"/>
          </rPr>
          <t xml:space="preserve">de froid </t>
        </r>
        <r>
          <rPr>
            <sz val="9"/>
            <color indexed="81"/>
            <rFont val="Tahoma"/>
            <family val="2"/>
          </rPr>
          <t>par l'intermédiaire de la</t>
        </r>
        <r>
          <rPr>
            <b/>
            <sz val="9"/>
            <color indexed="81"/>
            <rFont val="Tahoma"/>
            <family val="2"/>
          </rPr>
          <t xml:space="preserve"> PAC ou des sondes.</t>
        </r>
        <r>
          <rPr>
            <sz val="9"/>
            <color indexed="81"/>
            <rFont val="Tahoma"/>
            <family val="2"/>
          </rPr>
          <t xml:space="preserve">
</t>
        </r>
      </text>
    </comment>
    <comment ref="F88" authorId="1" shapeId="0">
      <text>
        <r>
          <rPr>
            <b/>
            <sz val="9"/>
            <color indexed="81"/>
            <rFont val="Tahoma"/>
            <family val="2"/>
          </rPr>
          <t>Calcul du montant de la solution de référence</t>
        </r>
        <r>
          <rPr>
            <sz val="9"/>
            <color indexed="81"/>
            <rFont val="Tahoma"/>
            <family val="2"/>
          </rPr>
          <t xml:space="preserve"> (groupe froid aérothermique) 
Coût estimé à partir de la puissance frigorifique : puissance frigo  X 400 €HT / kW pour une puissance inférieure à 50 kW et puissance frigo X 300 €HT / kW au-delà de 50 kW. Exemple : 200x300 = 60 000 € HT installé.
En règle générale : un groupe froid, de climatisation autonome ou d'autres solutions de production de froid coûtent plus chers que la modification hydraulique pour l'emploi de la PAC en chaud et froid simultané (montage TFP) ou pour le géocooling.</t>
        </r>
      </text>
    </comment>
    <comment ref="G88" authorId="0" shapeId="0">
      <text>
        <r>
          <rPr>
            <b/>
            <sz val="9"/>
            <color indexed="81"/>
            <rFont val="Tahoma"/>
            <family val="2"/>
          </rPr>
          <t>En règle générale :</t>
        </r>
        <r>
          <rPr>
            <sz val="9"/>
            <color indexed="81"/>
            <rFont val="Tahoma"/>
            <family val="2"/>
          </rPr>
          <t xml:space="preserve"> le montant d'un groupe froid, de climatisations autonomes ou d'autres solutions de production de froid </t>
        </r>
        <r>
          <rPr>
            <b/>
            <sz val="9"/>
            <color indexed="81"/>
            <rFont val="Tahoma"/>
            <family val="2"/>
          </rPr>
          <t>coûte plus cher</t>
        </r>
        <r>
          <rPr>
            <sz val="9"/>
            <color indexed="81"/>
            <rFont val="Tahoma"/>
            <family val="2"/>
          </rPr>
          <t xml:space="preserve"> que la modification hydraulique pour l'emploi de la PAC en chaud et froid simultané ou pour le géocooling.</t>
        </r>
      </text>
    </comment>
    <comment ref="E89" authorId="1" shapeId="0">
      <text>
        <r>
          <rPr>
            <sz val="9"/>
            <color indexed="81"/>
            <rFont val="Tahoma"/>
            <family val="2"/>
          </rPr>
          <t xml:space="preserve">Ce montant correspond à la </t>
        </r>
        <r>
          <rPr>
            <b/>
            <sz val="9"/>
            <color indexed="81"/>
            <rFont val="Tahoma"/>
            <family val="2"/>
          </rPr>
          <t>plus value</t>
        </r>
        <r>
          <rPr>
            <sz val="9"/>
            <color indexed="81"/>
            <rFont val="Tahoma"/>
            <family val="2"/>
          </rPr>
          <t xml:space="preserve"> de la production d'</t>
        </r>
        <r>
          <rPr>
            <b/>
            <sz val="9"/>
            <color indexed="81"/>
            <rFont val="Tahoma"/>
            <family val="2"/>
          </rPr>
          <t>ECS</t>
        </r>
        <r>
          <rPr>
            <sz val="9"/>
            <color indexed="81"/>
            <rFont val="Tahoma"/>
            <family val="2"/>
          </rPr>
          <t xml:space="preserve"> par l'intermédiaire de la </t>
        </r>
        <r>
          <rPr>
            <b/>
            <sz val="9"/>
            <color indexed="81"/>
            <rFont val="Tahoma"/>
            <family val="2"/>
          </rPr>
          <t xml:space="preserve">PAC.
</t>
        </r>
        <r>
          <rPr>
            <sz val="9"/>
            <color indexed="81"/>
            <rFont val="Tahoma"/>
            <family val="2"/>
          </rPr>
          <t xml:space="preserve">
Prendre en compte également le </t>
        </r>
        <r>
          <rPr>
            <b/>
            <sz val="9"/>
            <color indexed="81"/>
            <rFont val="Tahoma"/>
            <family val="2"/>
          </rPr>
          <t>montant de l'appoint</t>
        </r>
        <r>
          <rPr>
            <sz val="9"/>
            <color indexed="81"/>
            <rFont val="Tahoma"/>
            <family val="2"/>
          </rPr>
          <t>.</t>
        </r>
      </text>
    </comment>
    <comment ref="F89" authorId="1" shapeId="0">
      <text>
        <r>
          <rPr>
            <sz val="9"/>
            <color indexed="81"/>
            <rFont val="Tahoma"/>
            <family val="2"/>
          </rPr>
          <t>Indiquer le</t>
        </r>
        <r>
          <rPr>
            <b/>
            <sz val="9"/>
            <color indexed="81"/>
            <rFont val="Tahoma"/>
            <family val="2"/>
          </rPr>
          <t xml:space="preserve"> montant de la solution de référence </t>
        </r>
        <r>
          <rPr>
            <sz val="9"/>
            <color indexed="81"/>
            <rFont val="Tahoma"/>
            <family val="2"/>
          </rPr>
          <t>si l'équivalent en géothermie est également spécifié et envisagé.
Ballon d'ECS, plus value raccordement à la solution de référence, ...</t>
        </r>
      </text>
    </comment>
    <comment ref="K94" authorId="0" shapeId="0">
      <text>
        <r>
          <rPr>
            <sz val="9"/>
            <color indexed="81"/>
            <rFont val="Arial"/>
            <family val="2"/>
          </rPr>
          <t xml:space="preserve">Cela comprend tous les coûts liés à l'approvisionnement en énergie (redevance locale, transport, …). </t>
        </r>
      </text>
    </comment>
    <comment ref="L94" authorId="0"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M94" authorId="0"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D95" authorId="0" shapeId="0">
      <text>
        <r>
          <rPr>
            <sz val="9"/>
            <color indexed="81"/>
            <rFont val="Arial"/>
            <family val="2"/>
          </rPr>
          <t xml:space="preserve">Cela comprend tous les coûts liés à l'approvisionnement en énergie (redevance locale, transport, …). </t>
        </r>
      </text>
    </comment>
    <comment ref="E95" authorId="0"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F95" authorId="0"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K95" authorId="0" shapeId="0">
      <text>
        <r>
          <rPr>
            <sz val="9"/>
            <color indexed="81"/>
            <rFont val="Arial"/>
            <family val="2"/>
          </rPr>
          <t xml:space="preserve">Cela comprend tous les coûts liés à l'approvisionnement en énergie (redevance locale, transport, …). </t>
        </r>
      </text>
    </comment>
    <comment ref="L95" authorId="0" shapeId="0">
      <text>
        <r>
          <rPr>
            <sz val="9"/>
            <color indexed="81"/>
            <rFont val="Tahoma"/>
            <family val="2"/>
          </rPr>
          <t>Valeur calculée mais qui</t>
        </r>
        <r>
          <rPr>
            <b/>
            <sz val="9"/>
            <color indexed="81"/>
            <rFont val="Tahoma"/>
            <family val="2"/>
          </rPr>
          <t xml:space="preserve"> peut être remplacée par celle du BET</t>
        </r>
        <r>
          <rPr>
            <sz val="9"/>
            <color indexed="81"/>
            <rFont val="Tahoma"/>
            <family val="2"/>
          </rPr>
          <t xml:space="preserve"> si elle est disponible
</t>
        </r>
      </text>
    </comment>
    <comment ref="M95" authorId="0" shapeId="0">
      <text>
        <r>
          <rPr>
            <sz val="9"/>
            <color indexed="81"/>
            <rFont val="Tahoma"/>
            <family val="2"/>
          </rPr>
          <t>Valeur calculée mais qui</t>
        </r>
        <r>
          <rPr>
            <b/>
            <sz val="9"/>
            <color indexed="81"/>
            <rFont val="Tahoma"/>
            <family val="2"/>
          </rPr>
          <t xml:space="preserve"> peut être remplacée par celle du BET</t>
        </r>
        <r>
          <rPr>
            <sz val="9"/>
            <color indexed="81"/>
            <rFont val="Tahoma"/>
            <family val="2"/>
          </rPr>
          <t xml:space="preserve"> si elle est disponible
</t>
        </r>
      </text>
    </comment>
    <comment ref="D96" authorId="0" shapeId="0">
      <text>
        <r>
          <rPr>
            <sz val="9"/>
            <color indexed="81"/>
            <rFont val="Arial"/>
            <family val="2"/>
          </rPr>
          <t xml:space="preserve">Cela comprend tous les coûts liés à l'approvisionnement en énergie (redevance locale, transport, …). </t>
        </r>
      </text>
    </comment>
    <comment ref="E96" authorId="0" shapeId="0">
      <text>
        <r>
          <rPr>
            <sz val="9"/>
            <color indexed="81"/>
            <rFont val="Tahoma"/>
            <family val="2"/>
          </rPr>
          <t>Valeur calculée mais qui</t>
        </r>
        <r>
          <rPr>
            <b/>
            <sz val="9"/>
            <color indexed="81"/>
            <rFont val="Tahoma"/>
            <family val="2"/>
          </rPr>
          <t xml:space="preserve"> peut être remplacée par celle du BET</t>
        </r>
        <r>
          <rPr>
            <sz val="9"/>
            <color indexed="81"/>
            <rFont val="Tahoma"/>
            <family val="2"/>
          </rPr>
          <t xml:space="preserve"> si elle est disponible
</t>
        </r>
      </text>
    </comment>
    <comment ref="F96" authorId="0" shapeId="0">
      <text>
        <r>
          <rPr>
            <sz val="9"/>
            <color indexed="81"/>
            <rFont val="Tahoma"/>
            <family val="2"/>
          </rPr>
          <t>Valeur calculée mais qui</t>
        </r>
        <r>
          <rPr>
            <b/>
            <sz val="9"/>
            <color indexed="81"/>
            <rFont val="Tahoma"/>
            <family val="2"/>
          </rPr>
          <t xml:space="preserve"> peut être remplacée par celle du BET</t>
        </r>
        <r>
          <rPr>
            <sz val="9"/>
            <color indexed="81"/>
            <rFont val="Tahoma"/>
            <family val="2"/>
          </rPr>
          <t xml:space="preserve"> si elle est disponible
</t>
        </r>
      </text>
    </comment>
    <comment ref="L96"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M96"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t>
        </r>
        <r>
          <rPr>
            <sz val="8"/>
            <color indexed="81"/>
            <rFont val="Tahoma"/>
            <family val="2"/>
          </rPr>
          <t xml:space="preserve">
</t>
        </r>
      </text>
    </comment>
    <comment ref="E97"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F97"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t>
        </r>
        <r>
          <rPr>
            <sz val="8"/>
            <color indexed="81"/>
            <rFont val="Tahoma"/>
            <family val="2"/>
          </rPr>
          <t xml:space="preserve">
</t>
        </r>
      </text>
    </comment>
    <comment ref="K97" authorId="0" shapeId="0">
      <text>
        <r>
          <rPr>
            <sz val="9"/>
            <color indexed="81"/>
            <rFont val="Arial"/>
            <family val="2"/>
          </rPr>
          <t>Les auxiliaires électriques des circuits secondaires étant considérés comme égaux, ils ne sont pas pris en compte.</t>
        </r>
      </text>
    </comment>
    <comment ref="L97"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M97"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D98" authorId="0" shapeId="0">
      <text>
        <r>
          <rPr>
            <sz val="9"/>
            <color indexed="81"/>
            <rFont val="Arial"/>
            <family val="2"/>
          </rPr>
          <t>Les auxiliaires électriques des circuits secondaires étant considérés comme égaux, ils ne sont pas pris en compte.</t>
        </r>
      </text>
    </comment>
    <comment ref="E98"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F98" authorId="2" shapeId="0">
      <text>
        <r>
          <rPr>
            <sz val="9"/>
            <color indexed="81"/>
            <rFont val="Tahoma"/>
            <family val="2"/>
          </rPr>
          <t xml:space="preserve">Valeur calculée mais qui </t>
        </r>
        <r>
          <rPr>
            <b/>
            <sz val="9"/>
            <color indexed="81"/>
            <rFont val="Tahoma"/>
            <family val="2"/>
          </rPr>
          <t>peut être remplacée par celle du BET</t>
        </r>
        <r>
          <rPr>
            <sz val="9"/>
            <color indexed="81"/>
            <rFont val="Tahoma"/>
            <family val="2"/>
          </rPr>
          <t xml:space="preserve"> si elle est disponible
</t>
        </r>
      </text>
    </comment>
    <comment ref="L98" authorId="2" shapeId="0">
      <text>
        <r>
          <rPr>
            <sz val="9"/>
            <color indexed="81"/>
            <rFont val="Tahoma"/>
            <family val="2"/>
          </rPr>
          <t>Valeur calculée mais qui peut être remplacée par celle du BET si elle est disponible</t>
        </r>
        <r>
          <rPr>
            <sz val="8"/>
            <color indexed="81"/>
            <rFont val="Tahoma"/>
            <family val="2"/>
          </rPr>
          <t xml:space="preserve">
</t>
        </r>
      </text>
    </comment>
    <comment ref="M98" authorId="2" shapeId="0">
      <text>
        <r>
          <rPr>
            <sz val="9"/>
            <color indexed="81"/>
            <rFont val="Tahoma"/>
            <family val="2"/>
          </rPr>
          <t>Valeur calculée mais qui peut être remplacée par celle du BET si elle est disponible</t>
        </r>
        <r>
          <rPr>
            <sz val="8"/>
            <color indexed="81"/>
            <rFont val="Tahoma"/>
            <family val="2"/>
          </rPr>
          <t xml:space="preserve">
</t>
        </r>
      </text>
    </comment>
    <comment ref="E99" authorId="2" shapeId="0">
      <text>
        <r>
          <rPr>
            <sz val="9"/>
            <color indexed="81"/>
            <rFont val="Tahoma"/>
            <family val="2"/>
          </rPr>
          <t>Valeur calculée mais qui peut être remplacée par celle du BET si elle est disponible</t>
        </r>
        <r>
          <rPr>
            <sz val="8"/>
            <color indexed="81"/>
            <rFont val="Tahoma"/>
            <family val="2"/>
          </rPr>
          <t xml:space="preserve">
</t>
        </r>
      </text>
    </comment>
    <comment ref="F99" authorId="2" shapeId="0">
      <text>
        <r>
          <rPr>
            <sz val="9"/>
            <color indexed="81"/>
            <rFont val="Tahoma"/>
            <family val="2"/>
          </rPr>
          <t>Valeur calculée mais qui peut être remplacée par celle du BET si elle est disponible</t>
        </r>
        <r>
          <rPr>
            <sz val="8"/>
            <color indexed="81"/>
            <rFont val="Tahoma"/>
            <family val="2"/>
          </rPr>
          <t xml:space="preserve">
</t>
        </r>
      </text>
    </comment>
    <comment ref="L99" authorId="2" shapeId="0">
      <text>
        <r>
          <rPr>
            <sz val="9"/>
            <color indexed="81"/>
            <rFont val="Tahoma"/>
            <family val="2"/>
          </rPr>
          <t xml:space="preserve">Valeur calculée mais qui peut être remplacée par celle du BET si elle est disponible
</t>
        </r>
      </text>
    </comment>
    <comment ref="E100" authorId="2" shapeId="0">
      <text>
        <r>
          <rPr>
            <sz val="9"/>
            <color indexed="81"/>
            <rFont val="Tahoma"/>
            <family val="2"/>
          </rPr>
          <t xml:space="preserve">Valeur calculée mais qui peut être remplacée par celle du BET si elle est disponible
</t>
        </r>
      </text>
    </comment>
    <comment ref="L112" authorId="4" shapeId="0">
      <text>
        <r>
          <rPr>
            <sz val="8"/>
            <color indexed="81"/>
            <rFont val="Tahoma"/>
            <family val="2"/>
          </rPr>
          <t>Le montant d'aide est calculé de façon à obtenir une valeur ciblée pour le % de décote du prix du MWh ENR/référence (C133), et  pour le % de l'encadrement communautaire (C131)</t>
        </r>
      </text>
    </comment>
    <comment ref="L113" authorId="4" shapeId="0">
      <text>
        <r>
          <rPr>
            <sz val="8"/>
            <color indexed="81"/>
            <rFont val="Tahoma"/>
            <family val="2"/>
          </rPr>
          <t>Le montant d'aide est calculé de façon à obtenir une valeur ciblée pour le % de décote du prix du MWh ENR/référence (C133), et  pour le % de l'encadrement communautaire (C131)</t>
        </r>
      </text>
    </comment>
    <comment ref="E114" authorId="4" shapeId="0">
      <text>
        <r>
          <rPr>
            <sz val="8"/>
            <color indexed="81"/>
            <rFont val="Tahoma"/>
            <family val="2"/>
          </rPr>
          <t>Le montant d'aide est calculé de façon à obtenir une valeur ciblée pour le % de décote du prix du MWh ENR/référence (C133), et  pour le % de l'encadrement communautaire (C131)</t>
        </r>
      </text>
    </comment>
    <comment ref="L115" authorId="4" shapeId="0">
      <text>
        <r>
          <rPr>
            <sz val="8"/>
            <color indexed="81"/>
            <rFont val="Tahoma"/>
            <family val="2"/>
          </rPr>
          <t>Le montant d'aide est calculé de façon à obtenir une valeur ciblée pour le % de décote du prix du MWh ENR/référence (E132), et  pour le % de l'encadrement communautaire (E128). Pour cela on utilise la fondtion analyse de scénario dans l'onglet Données. Valeur cible décote % et ajuste montant global de l'aide forfaitaire.
L'aide globale se compose de l'aide Fonds Chaleur et des autres aides.</t>
        </r>
      </text>
    </comment>
    <comment ref="E116" authorId="4" shapeId="0">
      <text>
        <r>
          <rPr>
            <sz val="8"/>
            <color indexed="81"/>
            <rFont val="Tahoma"/>
            <family val="2"/>
          </rPr>
          <t>Le montant d'aide est calculé de façon à obtenir une valeur ciblée pour le % de décote du prix du MWh ENR/référence (E135), et  pour le % de l'encadrement communautaire (E133). Pour cela on utilise la fonction analyse de scénario dans l'onglet Données. Valeur cible décote % et on ajuste le montant global de l'aide forfaitaire.
L'aide globale se compose de l'aide Fonds Chaleur et des autres aides.</t>
        </r>
      </text>
    </comment>
    <comment ref="L129" authorId="5" shapeId="0">
      <text>
        <r>
          <rPr>
            <b/>
            <sz val="9"/>
            <color indexed="81"/>
            <rFont val="Tahoma"/>
            <family val="2"/>
          </rPr>
          <t>GUEHL Marie:</t>
        </r>
        <r>
          <rPr>
            <sz val="9"/>
            <color indexed="81"/>
            <rFont val="Tahoma"/>
            <family val="2"/>
          </rPr>
          <t xml:space="preserve">
Il n'y a plus de prise en compte des économies d'exploitation depuis 2014
 </t>
        </r>
      </text>
    </comment>
    <comment ref="K135" authorId="6" shapeId="0">
      <text>
        <r>
          <rPr>
            <sz val="8"/>
            <color indexed="81"/>
            <rFont val="Tahoma"/>
            <family val="2"/>
          </rPr>
          <t xml:space="preserve">La </t>
        </r>
        <r>
          <rPr>
            <b/>
            <sz val="8"/>
            <color indexed="81"/>
            <rFont val="Tahoma"/>
            <family val="2"/>
          </rPr>
          <t>VAN</t>
        </r>
        <r>
          <rPr>
            <sz val="8"/>
            <color indexed="81"/>
            <rFont val="Tahoma"/>
            <family val="2"/>
          </rPr>
          <t xml:space="preserve"> (Valeur Actuelle Nette) est égale à la somme des flux actualisés</t>
        </r>
      </text>
    </comment>
    <comment ref="L135" authorId="6" shapeId="0">
      <text>
        <r>
          <rPr>
            <b/>
            <sz val="8"/>
            <color indexed="81"/>
            <rFont val="Tahoma"/>
            <family val="2"/>
          </rPr>
          <t>Le projet est jugé rentable si la VAN &gt; 0</t>
        </r>
        <r>
          <rPr>
            <sz val="8"/>
            <color indexed="81"/>
            <rFont val="Tahoma"/>
            <family val="2"/>
          </rPr>
          <t xml:space="preserve">
</t>
        </r>
      </text>
    </comment>
    <comment ref="K136" authorId="7" shapeId="0">
      <text>
        <r>
          <rPr>
            <sz val="8"/>
            <color indexed="81"/>
            <rFont val="Tahoma"/>
            <family val="2"/>
          </rPr>
          <t xml:space="preserve">Le </t>
        </r>
        <r>
          <rPr>
            <b/>
            <sz val="8"/>
            <color indexed="81"/>
            <rFont val="Tahoma"/>
            <family val="2"/>
          </rPr>
          <t>TRI</t>
        </r>
        <r>
          <rPr>
            <sz val="8"/>
            <color indexed="81"/>
            <rFont val="Tahoma"/>
            <family val="2"/>
          </rPr>
          <t xml:space="preserve"> (Taux de Rentabilité Interne) est le taux d'actualisation pour lequel la </t>
        </r>
        <r>
          <rPr>
            <b/>
            <sz val="8"/>
            <color indexed="81"/>
            <rFont val="Tahoma"/>
            <family val="2"/>
          </rPr>
          <t>VAN = 0</t>
        </r>
        <r>
          <rPr>
            <sz val="8"/>
            <color indexed="81"/>
            <rFont val="Tahoma"/>
            <family val="2"/>
          </rPr>
          <t xml:space="preserve"> (point d'équilibre économique du projet)</t>
        </r>
      </text>
    </comment>
    <comment ref="K137" authorId="6" shapeId="0">
      <text>
        <r>
          <rPr>
            <b/>
            <sz val="8"/>
            <color indexed="81"/>
            <rFont val="Tahoma"/>
            <family val="2"/>
          </rPr>
          <t xml:space="preserve">TRB </t>
        </r>
        <r>
          <rPr>
            <sz val="8"/>
            <color indexed="81"/>
            <rFont val="Tahoma"/>
            <family val="2"/>
          </rPr>
          <t>= Temps de Rentabilité Brut du projet</t>
        </r>
      </text>
    </comment>
    <comment ref="D138" authorId="6" shapeId="0">
      <text>
        <r>
          <rPr>
            <sz val="8"/>
            <color indexed="81"/>
            <rFont val="Tahoma"/>
            <family val="2"/>
          </rPr>
          <t xml:space="preserve">La </t>
        </r>
        <r>
          <rPr>
            <b/>
            <sz val="8"/>
            <color indexed="81"/>
            <rFont val="Tahoma"/>
            <family val="2"/>
          </rPr>
          <t>VAN</t>
        </r>
        <r>
          <rPr>
            <sz val="8"/>
            <color indexed="81"/>
            <rFont val="Tahoma"/>
            <family val="2"/>
          </rPr>
          <t xml:space="preserve"> (Valeur Actuelle Nette) est égale à la somme des flux actualisés</t>
        </r>
      </text>
    </comment>
    <comment ref="E138" authorId="6" shapeId="0">
      <text>
        <r>
          <rPr>
            <b/>
            <sz val="8"/>
            <color indexed="81"/>
            <rFont val="Tahoma"/>
            <family val="2"/>
          </rPr>
          <t>Le projet est jugé rentable si la VAN &gt; 0</t>
        </r>
        <r>
          <rPr>
            <sz val="8"/>
            <color indexed="81"/>
            <rFont val="Tahoma"/>
            <family val="2"/>
          </rPr>
          <t xml:space="preserve">
</t>
        </r>
      </text>
    </comment>
    <comment ref="K138" authorId="6" shapeId="0">
      <text>
        <r>
          <rPr>
            <b/>
            <sz val="8"/>
            <color indexed="81"/>
            <rFont val="Tahoma"/>
            <family val="2"/>
          </rPr>
          <t xml:space="preserve">TRB </t>
        </r>
        <r>
          <rPr>
            <sz val="8"/>
            <color indexed="81"/>
            <rFont val="Tahoma"/>
            <family val="2"/>
          </rPr>
          <t>= Temps de Rentabilité Brut du projet</t>
        </r>
      </text>
    </comment>
    <comment ref="L138" authorId="6" shapeId="0">
      <text>
        <r>
          <rPr>
            <sz val="8"/>
            <color indexed="81"/>
            <rFont val="Tahoma"/>
            <family val="2"/>
          </rPr>
          <t xml:space="preserve">Le projet est jugé rentable si le </t>
        </r>
        <r>
          <rPr>
            <b/>
            <sz val="8"/>
            <color indexed="81"/>
            <rFont val="Tahoma"/>
            <family val="2"/>
          </rPr>
          <t>TRB</t>
        </r>
        <r>
          <rPr>
            <sz val="8"/>
            <color indexed="81"/>
            <rFont val="Tahoma"/>
            <family val="2"/>
          </rPr>
          <t xml:space="preserve"> (Temps de Retour Brut) est &lt; (1/coefficient d'actualisation)</t>
        </r>
      </text>
    </comment>
    <comment ref="D139" authorId="7" shapeId="0">
      <text>
        <r>
          <rPr>
            <sz val="8"/>
            <color indexed="81"/>
            <rFont val="Tahoma"/>
            <family val="2"/>
          </rPr>
          <t xml:space="preserve">Le </t>
        </r>
        <r>
          <rPr>
            <b/>
            <sz val="8"/>
            <color indexed="81"/>
            <rFont val="Tahoma"/>
            <family val="2"/>
          </rPr>
          <t>TRI</t>
        </r>
        <r>
          <rPr>
            <sz val="8"/>
            <color indexed="81"/>
            <rFont val="Tahoma"/>
            <family val="2"/>
          </rPr>
          <t xml:space="preserve"> (Taux de Rentabilité Interne) est le taux d'actualisation pour lequel la </t>
        </r>
        <r>
          <rPr>
            <b/>
            <sz val="8"/>
            <color indexed="81"/>
            <rFont val="Tahoma"/>
            <family val="2"/>
          </rPr>
          <t>VAN = 0</t>
        </r>
        <r>
          <rPr>
            <sz val="8"/>
            <color indexed="81"/>
            <rFont val="Tahoma"/>
            <family val="2"/>
          </rPr>
          <t xml:space="preserve"> (point d'équilibre économique du projet)</t>
        </r>
      </text>
    </comment>
    <comment ref="D140" authorId="6" shapeId="0">
      <text>
        <r>
          <rPr>
            <b/>
            <sz val="8"/>
            <color indexed="81"/>
            <rFont val="Tahoma"/>
            <family val="2"/>
          </rPr>
          <t xml:space="preserve">TRB </t>
        </r>
        <r>
          <rPr>
            <sz val="8"/>
            <color indexed="81"/>
            <rFont val="Tahoma"/>
            <family val="2"/>
          </rPr>
          <t>= Temps de Rentabilité Brut du projet</t>
        </r>
      </text>
    </comment>
    <comment ref="D141" authorId="6" shapeId="0">
      <text>
        <r>
          <rPr>
            <b/>
            <sz val="8"/>
            <color indexed="81"/>
            <rFont val="Tahoma"/>
            <family val="2"/>
          </rPr>
          <t xml:space="preserve">TRB </t>
        </r>
        <r>
          <rPr>
            <sz val="8"/>
            <color indexed="81"/>
            <rFont val="Tahoma"/>
            <family val="2"/>
          </rPr>
          <t>= Temps de Rentabilité Brut du projet</t>
        </r>
      </text>
    </comment>
    <comment ref="E141" authorId="6" shapeId="0">
      <text>
        <r>
          <rPr>
            <sz val="8"/>
            <color indexed="81"/>
            <rFont val="Tahoma"/>
            <family val="2"/>
          </rPr>
          <t xml:space="preserve">Le projet est jugé rentable si le </t>
        </r>
        <r>
          <rPr>
            <b/>
            <sz val="8"/>
            <color indexed="81"/>
            <rFont val="Tahoma"/>
            <family val="2"/>
          </rPr>
          <t>TRB</t>
        </r>
        <r>
          <rPr>
            <sz val="8"/>
            <color indexed="81"/>
            <rFont val="Tahoma"/>
            <family val="2"/>
          </rPr>
          <t xml:space="preserve"> (Temps de Retour Brut) est &lt; (1/coefficient d'actualisation)</t>
        </r>
      </text>
    </comment>
    <comment ref="E145" authorId="7" shapeId="0">
      <text>
        <r>
          <rPr>
            <b/>
            <sz val="8"/>
            <color indexed="81"/>
            <rFont val="Tahoma"/>
            <family val="2"/>
          </rPr>
          <t>- surcoût d'investissement</t>
        </r>
        <r>
          <rPr>
            <sz val="8"/>
            <color indexed="81"/>
            <rFont val="Tahoma"/>
            <family val="2"/>
          </rPr>
          <t xml:space="preserve">
</t>
        </r>
      </text>
    </comment>
  </commentList>
</comments>
</file>

<file path=xl/sharedStrings.xml><?xml version="1.0" encoding="utf-8"?>
<sst xmlns="http://schemas.openxmlformats.org/spreadsheetml/2006/main" count="3220" uniqueCount="1307">
  <si>
    <t>Fiche_projet_CDENR_[Nomprojet]_[MOA]</t>
  </si>
  <si>
    <t>Nom du projet</t>
  </si>
  <si>
    <t>Maître d'ouvrage</t>
  </si>
  <si>
    <t>Ce projet concerne :</t>
  </si>
  <si>
    <t>Date du démarrage des travaux</t>
  </si>
  <si>
    <t xml:space="preserve">Durée estimée de l’opération </t>
  </si>
  <si>
    <t>Toute information complémentaire utile à la compréhension du projet (schéma, organigramme, démarches engagées par la collectivité)</t>
  </si>
  <si>
    <t>Descriptif sommaire du projet (incluant le périmètre de l'installation)</t>
  </si>
  <si>
    <t>1 - Présentation du projet</t>
  </si>
  <si>
    <t>Type de bâtiment</t>
  </si>
  <si>
    <t>A</t>
  </si>
  <si>
    <t>B</t>
  </si>
  <si>
    <t>C</t>
  </si>
  <si>
    <t>D</t>
  </si>
  <si>
    <t>E</t>
  </si>
  <si>
    <t>F</t>
  </si>
  <si>
    <t>G</t>
  </si>
  <si>
    <t>Caractéristiques de la solution biomasse</t>
  </si>
  <si>
    <t>Fluide de la chaudière biomasse</t>
  </si>
  <si>
    <t>Caractéristiques de l’appoint</t>
  </si>
  <si>
    <t>Nature du combustible d'appoint</t>
  </si>
  <si>
    <t>Générateur d'appoint</t>
  </si>
  <si>
    <t>Ingénierie</t>
  </si>
  <si>
    <t>P1 € HTR</t>
  </si>
  <si>
    <t>P'1 € HTR</t>
  </si>
  <si>
    <t>P2 (charges salariales comprises) € HTR</t>
  </si>
  <si>
    <t>P3 € HTR</t>
  </si>
  <si>
    <t xml:space="preserve">Puissance thermique nominale de l'installation de combustion </t>
  </si>
  <si>
    <t>MW</t>
  </si>
  <si>
    <t>MWh/an</t>
  </si>
  <si>
    <t>%</t>
  </si>
  <si>
    <t>MWh PCI</t>
  </si>
  <si>
    <t>Émission de poussières</t>
  </si>
  <si>
    <t xml:space="preserve">Consommation annuelle en biomasse entrée installation </t>
  </si>
  <si>
    <t xml:space="preserve">Taux de couverture des besoins thermiques par la biomasse </t>
  </si>
  <si>
    <t xml:space="preserve">Production sortie installation biomasse </t>
  </si>
  <si>
    <t xml:space="preserve">Puissance thermique nominale de l'installation biomasse </t>
  </si>
  <si>
    <t>Puissance thermique nominale de la chaudière biomasse</t>
  </si>
  <si>
    <t>Production annuelle de la chaudière</t>
  </si>
  <si>
    <t>Coûts d’investissement (en € HTR)</t>
  </si>
  <si>
    <t>oui</t>
  </si>
  <si>
    <t>non</t>
  </si>
  <si>
    <t>Date dépôt de demande</t>
  </si>
  <si>
    <t>Commentaires</t>
  </si>
  <si>
    <t>légende</t>
  </si>
  <si>
    <t>autoremplissage</t>
  </si>
  <si>
    <t>Combustible</t>
  </si>
  <si>
    <t>Qualification RGE ou équivalent</t>
  </si>
  <si>
    <t>Le projet respecte toutes les lois et normes applicables?</t>
  </si>
  <si>
    <t>Le bénéficiaire a fait les démarches pour obtenir toutes les autorisations administratives nécessaires relatives à la conformité des installations?</t>
  </si>
  <si>
    <t>Performance énergétique des bâtiments</t>
  </si>
  <si>
    <t xml:space="preserve">Caractéristiques des installations </t>
  </si>
  <si>
    <t>Rendement à puissance nominale de la production thermique</t>
  </si>
  <si>
    <t>kW</t>
  </si>
  <si>
    <t>Solaire</t>
  </si>
  <si>
    <t>Vérifié?</t>
  </si>
  <si>
    <t>Production sortie chaudière biomasse MWh/an</t>
  </si>
  <si>
    <t>Instrumentation de suivi prévue?</t>
  </si>
  <si>
    <t>Qualité de l’air</t>
  </si>
  <si>
    <t>Le projet est-il situé en zone PPA?</t>
  </si>
  <si>
    <t>Critères généraux</t>
  </si>
  <si>
    <t>NOx</t>
  </si>
  <si>
    <t>Approvisionnement biomasse</t>
  </si>
  <si>
    <t>Origine</t>
  </si>
  <si>
    <t>Montant (€HT)</t>
  </si>
  <si>
    <t>Subventions</t>
  </si>
  <si>
    <t>Région</t>
  </si>
  <si>
    <t>FEDER</t>
  </si>
  <si>
    <t>Contrat ADEME</t>
  </si>
  <si>
    <t>Conseil départemental</t>
  </si>
  <si>
    <t>Fonds de concours</t>
  </si>
  <si>
    <t>[autre à préciser]</t>
  </si>
  <si>
    <t>TOTAL</t>
  </si>
  <si>
    <t>Surface chauffée</t>
  </si>
  <si>
    <t>Neuf</t>
  </si>
  <si>
    <t>Existant</t>
  </si>
  <si>
    <t>Fioul</t>
  </si>
  <si>
    <t xml:space="preserve">Puissance thermique nominale de la chaudière d'appoint </t>
  </si>
  <si>
    <t>Consommation annuelle en énergie entrée chaudière</t>
  </si>
  <si>
    <t>Prix du combustible d’appoint (entrée chaudière)</t>
  </si>
  <si>
    <t>MWh PCI HTR</t>
  </si>
  <si>
    <t>[Autre 1]</t>
  </si>
  <si>
    <t>[Autre 2]</t>
  </si>
  <si>
    <t>Autres</t>
  </si>
  <si>
    <t>Catégorie 1 - 2017-1-PFA</t>
  </si>
  <si>
    <t>Catégorie 2 -  2017-2-CIB</t>
  </si>
  <si>
    <t>Catégorie 3 -  2017-3-BFVBD</t>
  </si>
  <si>
    <t>Catégorie 4 - 2017-4-GR</t>
  </si>
  <si>
    <t>Part autoconsommation</t>
  </si>
  <si>
    <t>Part %PCI</t>
  </si>
  <si>
    <t>Consommation biomasse</t>
  </si>
  <si>
    <t>Non par défaut, à modifier si question</t>
  </si>
  <si>
    <t>Questions de vérification</t>
  </si>
  <si>
    <t>Total externe</t>
  </si>
  <si>
    <t>TOTAL investissement chaufferie (hors BTP)</t>
  </si>
  <si>
    <t>Total avec autoconsommation</t>
  </si>
  <si>
    <t>Etude de faisabilité</t>
  </si>
  <si>
    <t>Inscrit à l'annexe des conventions</t>
  </si>
  <si>
    <t>Brasserie du Pilat</t>
  </si>
  <si>
    <t>Bois</t>
  </si>
  <si>
    <t>Présentation du porteur de projet et de ses motivations</t>
  </si>
  <si>
    <t>Emissions de poussières (-&gt; Base De Données ADEME)</t>
  </si>
  <si>
    <t>Autofinacement</t>
  </si>
  <si>
    <t>Pourcentage</t>
  </si>
  <si>
    <t>Plus d'infos</t>
  </si>
  <si>
    <t>% mettre lien cliquable vers le volet</t>
  </si>
  <si>
    <t>Liste déroulante</t>
  </si>
  <si>
    <t>à remplir</t>
  </si>
  <si>
    <t>m²</t>
  </si>
  <si>
    <t>Technologie du traitement de fumée poussières</t>
  </si>
  <si>
    <t>Technologie du traitement de fumée Nox</t>
  </si>
  <si>
    <t>équipement spécifique</t>
  </si>
  <si>
    <t>eau chaude</t>
  </si>
  <si>
    <t>Fiche projet</t>
  </si>
  <si>
    <t>Chaufferie bois sur le futur bâtiment industriel de la brasserie du Pilat à Saint Julien Molin Molette</t>
  </si>
  <si>
    <t>pas à l'ademe. Mais tenir disponible</t>
  </si>
  <si>
    <t>Merci de tenir disponible tout document utile à l'analyse du projet</t>
  </si>
  <si>
    <t>Association</t>
  </si>
  <si>
    <t>Type de maître d'ouvrage</t>
  </si>
  <si>
    <t>Date de mise en service envisagée</t>
  </si>
  <si>
    <t>Date de dépôt de dossier</t>
  </si>
  <si>
    <t>Adresse du(des) site(s)</t>
  </si>
  <si>
    <t>Coordonnées</t>
  </si>
  <si>
    <t>Adresse</t>
  </si>
  <si>
    <t>Référent</t>
  </si>
  <si>
    <t>Téléphone</t>
  </si>
  <si>
    <t>Collectif ou industrie?</t>
  </si>
  <si>
    <t>Type d'aide</t>
  </si>
  <si>
    <t>Bureau d’études</t>
  </si>
  <si>
    <t>Installateur</t>
  </si>
  <si>
    <t>logo métropole ect</t>
  </si>
  <si>
    <t>Instructeur 1</t>
  </si>
  <si>
    <t>Instructeur 2</t>
  </si>
  <si>
    <t>%commentaires fanny</t>
  </si>
  <si>
    <t>%commentaires nelly</t>
  </si>
  <si>
    <t>Besoins pris en compte pour le dimensionnement (après démarche d’économie d’énergie)</t>
  </si>
  <si>
    <t>dont chauffage</t>
  </si>
  <si>
    <t>dont ECS</t>
  </si>
  <si>
    <t>Nombre de bâtiments ou groupe de bâtiments actuels</t>
  </si>
  <si>
    <t>Oui/non</t>
  </si>
  <si>
    <t>Nombre de bâtiments ou groupe de bâtiments à prendre en compte pour le dimensionnement</t>
  </si>
  <si>
    <t>2 - Description du site et des besoins thermiques actuels et futurs</t>
  </si>
  <si>
    <t>Mairie</t>
  </si>
  <si>
    <t>Piscine couverte</t>
  </si>
  <si>
    <t>Process</t>
  </si>
  <si>
    <t>%idem? Ça sert à quoi?</t>
  </si>
  <si>
    <t>Brasserie</t>
  </si>
  <si>
    <t>Gaz naturel</t>
  </si>
  <si>
    <t>Gaz butane</t>
  </si>
  <si>
    <t>DPE</t>
  </si>
  <si>
    <t>RGE</t>
  </si>
  <si>
    <t>Neuf/Existant</t>
  </si>
  <si>
    <t>Entreprise</t>
  </si>
  <si>
    <t>Bailleur</t>
  </si>
  <si>
    <t>Bailleur social</t>
  </si>
  <si>
    <t>Maîtrise d’ouvrage</t>
  </si>
  <si>
    <t>Raison sociale ou Nom</t>
  </si>
  <si>
    <t>Maîtrise d'œuvre</t>
  </si>
  <si>
    <t>Electricité</t>
  </si>
  <si>
    <t>Rajouter des commentaires ici si besoin</t>
  </si>
  <si>
    <t>Facteur de conversion</t>
  </si>
  <si>
    <t>Besoins actuels (sans prendre en compte la démarche d'économie d'énergie)</t>
  </si>
  <si>
    <t>Etat des lieux</t>
  </si>
  <si>
    <t>MWh EF/an</t>
  </si>
  <si>
    <t>Abandonné pour le projet</t>
  </si>
  <si>
    <t>Neuf / Existant/ Abandonné pour le nouveau projet</t>
  </si>
  <si>
    <t>Besoins utiles chaleur tous usages annuels</t>
  </si>
  <si>
    <t>Nombre de chaudières biomasse?</t>
  </si>
  <si>
    <t>Nombre de chaudières d'appoint?</t>
  </si>
  <si>
    <t>Nature du combustible</t>
  </si>
  <si>
    <t>Traitement des fumées</t>
  </si>
  <si>
    <t>Type de combustible</t>
  </si>
  <si>
    <t>P4 € HTR</t>
  </si>
  <si>
    <t>Bâtiment chaufferie et silo de stockage</t>
  </si>
  <si>
    <t>Régions d'origine</t>
  </si>
  <si>
    <t xml:space="preserve">Approvisionnement </t>
  </si>
  <si>
    <t>Auvergne Rhône Alpes</t>
  </si>
  <si>
    <t>Hors UE</t>
  </si>
  <si>
    <t>Catégories pour l'approvisionnement externe (hors autoconsommation)</t>
  </si>
  <si>
    <t>Instructeur de cette fiche (1)</t>
  </si>
  <si>
    <t>Instructeur de cette fiche (2)</t>
  </si>
  <si>
    <t xml:space="preserve">FICHE PROJET - </t>
  </si>
  <si>
    <t>CHAUFFERIE BIOMASSE DÉDIÉE</t>
  </si>
  <si>
    <t>Rajouter les logos de l'opérateur du COT/du maître d'ouvrage</t>
  </si>
  <si>
    <t xml:space="preserve"> mg/Nm3 à 6%O2</t>
  </si>
  <si>
    <t>Thermique</t>
  </si>
  <si>
    <t>Choisir</t>
  </si>
  <si>
    <t>Container</t>
  </si>
  <si>
    <t>Oui</t>
  </si>
  <si>
    <t>Aspiration</t>
  </si>
  <si>
    <t>m</t>
  </si>
  <si>
    <t>Non</t>
  </si>
  <si>
    <t>cm</t>
  </si>
  <si>
    <t>Type de camion de livraison envisagé</t>
  </si>
  <si>
    <t>jours</t>
  </si>
  <si>
    <t>minutes</t>
  </si>
  <si>
    <t>Investissement</t>
  </si>
  <si>
    <t>Justificatif/ Valeur</t>
  </si>
  <si>
    <t>dont process</t>
  </si>
  <si>
    <t>Remarques complémentaires en rapport avec les besoins thermiques</t>
  </si>
  <si>
    <t>Y-a-il plusieurs chaudières biomasse?</t>
  </si>
  <si>
    <t>Schéma complémentaire</t>
  </si>
  <si>
    <t>Collectivité</t>
  </si>
  <si>
    <t>Avez-vous le DPE?</t>
  </si>
  <si>
    <t>Consommation totale énergie finale</t>
  </si>
  <si>
    <t>Entreprise ou industrie</t>
  </si>
  <si>
    <t>Collectif ou tertiaire</t>
  </si>
  <si>
    <t>Etapes du dossier</t>
  </si>
  <si>
    <t>Etapes_dossier</t>
  </si>
  <si>
    <t>En cours</t>
  </si>
  <si>
    <t>Fini</t>
  </si>
  <si>
    <t>Consommation Solaire</t>
  </si>
  <si>
    <t>Consommation Fuel</t>
  </si>
  <si>
    <t>merci de pas remplir les cases rayées</t>
  </si>
  <si>
    <t>Consommation Électricité</t>
  </si>
  <si>
    <t>Consommation Bois</t>
  </si>
  <si>
    <t>Consommation Gaz Naturel</t>
  </si>
  <si>
    <t>Consommation Biogaz</t>
  </si>
  <si>
    <t>Classe énergétique minimale</t>
  </si>
  <si>
    <t>Lien BDD ADEME</t>
  </si>
  <si>
    <t>Autre (spécifier)</t>
  </si>
  <si>
    <t>MWh PCI/an</t>
  </si>
  <si>
    <t>Nombres d'heures de fonctionnement à puissance nominale</t>
  </si>
  <si>
    <t>Charges d’exploitation annuelle</t>
  </si>
  <si>
    <t>Valeurs de référence</t>
  </si>
  <si>
    <t>Listes déroulantes de choix</t>
  </si>
  <si>
    <t>Ces valeurs ne peuvent pas être modifiées. Il s'agit de valeurs dite "de référence" convenu par l'ensemble de la profession dans le cadre de la démarche qualité chaufferie.</t>
  </si>
  <si>
    <t>unités</t>
  </si>
  <si>
    <t>Lien avec Réf.</t>
  </si>
  <si>
    <t>Etape de saisie</t>
  </si>
  <si>
    <t>Liste de choix "Oui/non"</t>
  </si>
  <si>
    <t>Usage chaleur</t>
  </si>
  <si>
    <t>Configuration chaufferie</t>
  </si>
  <si>
    <t>Configuration silo</t>
  </si>
  <si>
    <t>Type de bac à cendres</t>
  </si>
  <si>
    <t>Systèmes de filtration des fumées</t>
  </si>
  <si>
    <t>Régulation ECS</t>
  </si>
  <si>
    <t>Mode de remplissage du silo</t>
  </si>
  <si>
    <t>Type de dessilage</t>
  </si>
  <si>
    <t>Liste de choix "Validé/Pas Validé"</t>
  </si>
  <si>
    <t>Consultation combustible</t>
  </si>
  <si>
    <t>Puissance chaufferie &gt; 70 kW =&gt; Nécessité d'être en conformité avec arrêté du 23 juin 1978</t>
  </si>
  <si>
    <t>X</t>
  </si>
  <si>
    <t>Puissance Chaufferie &gt; 2000 kW =&gt; Nécessité de respecter la classification ICPE</t>
  </si>
  <si>
    <t>Demande de subvention Etude faisabilité</t>
  </si>
  <si>
    <t>C1 (P16/45 A et M 15/25-30)</t>
  </si>
  <si>
    <t>Chauffage uniquement</t>
  </si>
  <si>
    <t>Enterrée</t>
  </si>
  <si>
    <t>Enterré</t>
  </si>
  <si>
    <t>Bac à roulettes</t>
  </si>
  <si>
    <t>Camion plateau</t>
  </si>
  <si>
    <t>Multicyclones</t>
  </si>
  <si>
    <t>Régulation Chaudière</t>
  </si>
  <si>
    <t>Bennage direct</t>
  </si>
  <si>
    <t>Dessileur rotatif</t>
  </si>
  <si>
    <t>Aucun devis</t>
  </si>
  <si>
    <t>Rendement minimum de réseau</t>
  </si>
  <si>
    <t>Demande de solde de subvention Etude faisabilité</t>
  </si>
  <si>
    <t>C2 (P45/63 et M 30/40)</t>
  </si>
  <si>
    <t>Chauffage et Eau chaude Sanitaire</t>
  </si>
  <si>
    <t>Semi-enterrée</t>
  </si>
  <si>
    <t>Semi-enterré</t>
  </si>
  <si>
    <t>Bac Manutentionable</t>
  </si>
  <si>
    <t>Tracteur-remorque</t>
  </si>
  <si>
    <t>Filtres à manches</t>
  </si>
  <si>
    <t>Régulation pilotée par les besoins</t>
  </si>
  <si>
    <t>Bac de transfert avec 1 vis sans fin inclinées</t>
  </si>
  <si>
    <t>Fond racleur</t>
  </si>
  <si>
    <t>1 devis</t>
  </si>
  <si>
    <t>Rendement maximum de réseau</t>
  </si>
  <si>
    <t>Demande de subention Investissement</t>
  </si>
  <si>
    <t>C3 (P63/125 et M 35/45)</t>
  </si>
  <si>
    <t>Sans Objet</t>
  </si>
  <si>
    <t>Hors sol</t>
  </si>
  <si>
    <t>Convoyeur humide</t>
  </si>
  <si>
    <t>Camion polybenne</t>
  </si>
  <si>
    <t>Electrofiltres</t>
  </si>
  <si>
    <t>Pas de régulation</t>
  </si>
  <si>
    <t>Bac de transfert avec 2 vis sans fin inclinées</t>
  </si>
  <si>
    <t>Autre</t>
  </si>
  <si>
    <t>2 devis</t>
  </si>
  <si>
    <t>Déquote sur rendement nominal de chaudière bois</t>
  </si>
  <si>
    <t>Pré-analyse</t>
  </si>
  <si>
    <t>C4 (P100/200 et M10/20)</t>
  </si>
  <si>
    <t>Camion polybenne + remroque</t>
  </si>
  <si>
    <t>Sans objet</t>
  </si>
  <si>
    <t>Bac de transfert avec 1 vis verticale</t>
  </si>
  <si>
    <t>Plus de 2 devis</t>
  </si>
  <si>
    <t>Pbois (kW) inférieur à</t>
  </si>
  <si>
    <t>C5 (P100/200 et M40/55)</t>
  </si>
  <si>
    <t>Autres (à préciser)</t>
  </si>
  <si>
    <t>Camion semi-remorque</t>
  </si>
  <si>
    <t>Soufflage</t>
  </si>
  <si>
    <t>C6 (Spécifique forte puissance)</t>
  </si>
  <si>
    <t>Camion souffleur</t>
  </si>
  <si>
    <t>Pbois (kW) supérieur à</t>
  </si>
  <si>
    <t>Formule Calcul PCI bois : (PCI Anhydre 5330 x (100-Humudité)/100)-6,7861*Humidité</t>
  </si>
  <si>
    <t>Densité thermique</t>
  </si>
  <si>
    <t>kWh/ml</t>
  </si>
  <si>
    <t>Taux de couverture bois</t>
  </si>
  <si>
    <t xml:space="preserve">Chaudière acceptable si nombre d'heures de fonctionnement supérieur à </t>
  </si>
  <si>
    <t>h</t>
  </si>
  <si>
    <t xml:space="preserve">Chaudière bien dimensionnée si nombre d'heures de fonctionnement supérieur à </t>
  </si>
  <si>
    <t>Ratio pour dimensionnement du ballon tampon</t>
  </si>
  <si>
    <t>litres/kW</t>
  </si>
  <si>
    <t>Conception chaufferie</t>
  </si>
  <si>
    <t>Pente maxi pour sortie du bac à cendres à roulettes</t>
  </si>
  <si>
    <t>Nb livraisons/an maxi de 0 à 150 kW bois</t>
  </si>
  <si>
    <t>Nb livraisons/an maxi de 150 à 500 kW bois</t>
  </si>
  <si>
    <t>Nb livraisons/an maxi de 500 à 1 000 kW bois</t>
  </si>
  <si>
    <t>Nb livraisons/an maxi pour 150 kW bois</t>
  </si>
  <si>
    <t>A valider avec Maitre d'ouvrage</t>
  </si>
  <si>
    <t>Formule surface chaufferie théorique : 0,025*Ptotale+34 (issu de l'analyse de l'Observatoire Bois-énergie)</t>
  </si>
  <si>
    <t>Surface minimale de chaufferie</t>
  </si>
  <si>
    <t>Conception silo</t>
  </si>
  <si>
    <t>Largeur de la trappe</t>
  </si>
  <si>
    <t>Longeur de la trappe</t>
  </si>
  <si>
    <t>Hauteur mini entre sol et trappe</t>
  </si>
  <si>
    <t>Hauteur maxi entre sol et trappe</t>
  </si>
  <si>
    <t>Rapport volume utile/volume total</t>
  </si>
  <si>
    <t>Profondeur maximale du silo</t>
  </si>
  <si>
    <t>Autonomie minimale du silo</t>
  </si>
  <si>
    <t>Durée acceptable de livraison</t>
  </si>
  <si>
    <t>Voie accès au silo</t>
  </si>
  <si>
    <t>Pente de la voie d'accès dans le sens de la circulation</t>
  </si>
  <si>
    <t>Pente de la voie d'accès dans le sens transversal à la circulation</t>
  </si>
  <si>
    <t>Largeur minimale de la voie d'accès au silo</t>
  </si>
  <si>
    <t>Hauteur de dégagement de la voie d'accès au silo</t>
  </si>
  <si>
    <t>Coût du MWh TTC fourni mini</t>
  </si>
  <si>
    <t>€TTC/MWh</t>
  </si>
  <si>
    <t>Coût du MWh TTC fourni maxi</t>
  </si>
  <si>
    <t xml:space="preserve">Aide Qualité Chaufferie Bois-énergie </t>
  </si>
  <si>
    <t>Années d'amortissement</t>
  </si>
  <si>
    <t>Estimations</t>
  </si>
  <si>
    <t>Commentaires et infos</t>
  </si>
  <si>
    <t>[Autre 3]</t>
  </si>
  <si>
    <t>Générateur de chaleur biomasse et système d'alimentation automatique</t>
  </si>
  <si>
    <t>Installation électrique et hydraulique associée au générateur</t>
  </si>
  <si>
    <t>[Autre 4]</t>
  </si>
  <si>
    <t>[Saisir Région 1]</t>
  </si>
  <si>
    <t>[Saisir Région 2]</t>
  </si>
  <si>
    <t>[Saisir Région 3]</t>
  </si>
  <si>
    <t>Détails supplémentaires?</t>
  </si>
  <si>
    <t>Total toutes origines</t>
  </si>
  <si>
    <t>Montant Aide ADEME</t>
  </si>
  <si>
    <t>€/MWh</t>
  </si>
  <si>
    <t>Collectif</t>
  </si>
  <si>
    <t>Forfait d'aide ADEME €/MWh</t>
  </si>
  <si>
    <t>A modifier selon l'évolution des conditions</t>
  </si>
  <si>
    <t>Consommation énergétique par m²</t>
  </si>
  <si>
    <t>MWh EF/an/m²</t>
  </si>
  <si>
    <t>Consommation totale énergie primaire</t>
  </si>
  <si>
    <t>MWh EP/an</t>
  </si>
  <si>
    <t>MWh EP/an/m²</t>
  </si>
  <si>
    <r>
      <t xml:space="preserve">Puissance </t>
    </r>
    <r>
      <rPr>
        <b/>
        <sz val="11"/>
        <rFont val="Calibri Light"/>
        <family val="2"/>
        <scheme val="major"/>
      </rPr>
      <t>thermique</t>
    </r>
    <r>
      <rPr>
        <sz val="11"/>
        <rFont val="Calibri Light"/>
        <family val="2"/>
        <scheme val="major"/>
      </rPr>
      <t xml:space="preserve"> appelée</t>
    </r>
  </si>
  <si>
    <t>Utilisation du document</t>
  </si>
  <si>
    <t>Autoremplissage</t>
  </si>
  <si>
    <t>A remplir</t>
  </si>
  <si>
    <t>Légende</t>
  </si>
  <si>
    <t>A REMPLIR</t>
  </si>
  <si>
    <t>Pour remplir une nouvelle fiche, il suffit de faire une copie de ce document Excel.</t>
  </si>
  <si>
    <t>3 - Caractéristiques techniques des installations aidées</t>
  </si>
  <si>
    <t>4 - Plan d’approvisionnement en combustible(s) biomasse</t>
  </si>
  <si>
    <t>5 - Récapitulatif des critères d’éligibilité</t>
  </si>
  <si>
    <t>6 - Plan de financement</t>
  </si>
  <si>
    <t>Sommaire</t>
  </si>
  <si>
    <t>Nom du bâtiment</t>
  </si>
  <si>
    <t>Géothermie de surface</t>
  </si>
  <si>
    <t>AIDE AU REMPLISSAGE</t>
  </si>
  <si>
    <t>Les tableaux de la fiche de synthèse doivent être remplis en s’appuyant sur le schéma ci-après.</t>
  </si>
  <si>
    <t>Besoins utiles du bâtiment</t>
  </si>
  <si>
    <r>
      <t xml:space="preserve">Il s’agit de l’énergie correspondant au résultat de calcul thermique, issu d’une simulation thermique dynamique par exemple, ou calculé par une autre méthode, tenant compte des apports. </t>
    </r>
    <r>
      <rPr>
        <b/>
        <sz val="10"/>
        <color rgb="FFFF0000"/>
        <rFont val="Calibri"/>
        <family val="2"/>
        <scheme val="minor"/>
      </rPr>
      <t>Ces besoins sont à donner dans le tableau 2.3.1.</t>
    </r>
  </si>
  <si>
    <r>
      <t>Production en sortie Chaudière/PAC</t>
    </r>
    <r>
      <rPr>
        <sz val="10"/>
        <color rgb="FF003399"/>
        <rFont val="Calibri"/>
        <family val="2"/>
        <scheme val="minor"/>
      </rPr>
      <t xml:space="preserve"> : il s’agit de l’énergie fournie en sortie de l’équipement </t>
    </r>
    <r>
      <rPr>
        <b/>
        <sz val="10"/>
        <color rgb="FFC00000"/>
        <rFont val="Calibri"/>
        <family val="2"/>
        <scheme val="minor"/>
      </rPr>
      <t>Pr1</t>
    </r>
  </si>
  <si>
    <r>
      <t xml:space="preserve">Les productions de l’appoint et de la référence sont notées </t>
    </r>
    <r>
      <rPr>
        <b/>
        <sz val="10"/>
        <color rgb="FFC00000"/>
        <rFont val="Calibri"/>
        <family val="2"/>
        <scheme val="minor"/>
      </rPr>
      <t xml:space="preserve">Pr app et Pr ref </t>
    </r>
    <r>
      <rPr>
        <sz val="10"/>
        <color rgb="FF003399"/>
        <rFont val="Calibri"/>
        <family val="2"/>
        <scheme val="minor"/>
      </rPr>
      <t>(voir paragraphe 2.6.2.)</t>
    </r>
  </si>
  <si>
    <r>
      <t>Pertes de distribution/émission</t>
    </r>
    <r>
      <rPr>
        <sz val="10"/>
        <color rgb="FF003399"/>
        <rFont val="Calibri"/>
        <family val="2"/>
        <scheme val="minor"/>
      </rPr>
      <t> : il s’agit des pertes dans le réseau de distribution du bâtiment et par les émetteurs de chaleur</t>
    </r>
  </si>
  <si>
    <t xml:space="preserve">Pertes dues aux rendements de la PAC/Chaudière </t>
  </si>
  <si>
    <t>Bureau d’études thermique/fluides</t>
  </si>
  <si>
    <t>Energie liée aux pertes de rendements de production</t>
  </si>
  <si>
    <t>Foreur</t>
  </si>
  <si>
    <r>
      <t>Consommation des auxiliaires</t>
    </r>
    <r>
      <rPr>
        <sz val="10"/>
        <color rgb="FF003399"/>
        <rFont val="Calibri"/>
        <family val="2"/>
        <scheme val="minor"/>
      </rPr>
      <t> :</t>
    </r>
  </si>
  <si>
    <t>Architecte</t>
  </si>
  <si>
    <r>
      <t>Il s’agit des auxiliaires liés à la ressource sous-sol (pompe forage par exemple), notées</t>
    </r>
    <r>
      <rPr>
        <sz val="10"/>
        <color theme="5"/>
        <rFont val="Calibri"/>
        <family val="2"/>
        <scheme val="minor"/>
      </rPr>
      <t xml:space="preserve"> </t>
    </r>
    <r>
      <rPr>
        <b/>
        <sz val="10"/>
        <color theme="5"/>
        <rFont val="Calibri"/>
        <family val="2"/>
        <scheme val="minor"/>
      </rPr>
      <t>Aux.</t>
    </r>
  </si>
  <si>
    <r>
      <t>Consommation de la chaudière/PAC</t>
    </r>
    <r>
      <rPr>
        <sz val="10"/>
        <color rgb="FF003399"/>
        <rFont val="Calibri"/>
        <family val="2"/>
        <scheme val="minor"/>
      </rPr>
      <t> </t>
    </r>
  </si>
  <si>
    <t xml:space="preserve">Il s’agit des consommations électriques ou gaz (si PAC gaz), elles sont notées Co1. </t>
  </si>
  <si>
    <r>
      <t xml:space="preserve">Les consommations de l’appoint et de la référence sont notées </t>
    </r>
    <r>
      <rPr>
        <b/>
        <sz val="10"/>
        <color theme="5"/>
        <rFont val="Calibri"/>
        <family val="2"/>
        <scheme val="minor"/>
      </rPr>
      <t>Co app et Co ref</t>
    </r>
  </si>
  <si>
    <t>%rajouter des lignes si nécessaire</t>
  </si>
  <si>
    <t>Energie extraite du sous-sol :</t>
  </si>
  <si>
    <r>
      <t xml:space="preserve">C’est l’énergie récupérée sur le source froide de la pompe à chaleur, elle est notée </t>
    </r>
    <r>
      <rPr>
        <b/>
        <sz val="10"/>
        <color theme="5"/>
        <rFont val="Calibri"/>
        <family val="2"/>
        <scheme val="minor"/>
      </rPr>
      <t>Ex</t>
    </r>
  </si>
  <si>
    <t>Planning prévisionnel des études et des travaux</t>
  </si>
  <si>
    <t>Opérations</t>
  </si>
  <si>
    <t>Date</t>
  </si>
  <si>
    <t>Durée</t>
  </si>
  <si>
    <t>%un peu plus que sommaire?</t>
  </si>
  <si>
    <t xml:space="preserve">il manque </t>
  </si>
  <si>
    <t>Organisation et moyens garantissant la bonne conception et réalisation des installations (qualifications, références, etc.), mais aussi les performances de l’installation en exploitation avec notamment la mise au point optimale des équipements ainsi que son maintien dans la durée (Commissionnement).</t>
  </si>
  <si>
    <t>Besoins énergétiques actuels</t>
  </si>
  <si>
    <t xml:space="preserve">MONITORING DES INSTALLATIONS PAC </t>
  </si>
  <si>
    <t>Puissance totale appelée cumulée (en kW)</t>
  </si>
  <si>
    <t>Nombre de bâtiments ou groupe de bâtiments</t>
  </si>
  <si>
    <t>PAC à compression Electrique</t>
  </si>
  <si>
    <t>1. a</t>
  </si>
  <si>
    <t xml:space="preserve">fonctionnement chauffage ou froid </t>
  </si>
  <si>
    <t>Nature du combustible (exemples : gaz, fioul)</t>
  </si>
  <si>
    <t>Consommation annuelle en énergie en entrée chaudière en MWh PCI</t>
  </si>
  <si>
    <t>Caractérisation de la ressource exploitée</t>
  </si>
  <si>
    <t>Dimensionnement de l'installation géothermique</t>
  </si>
  <si>
    <t>Appoint</t>
  </si>
  <si>
    <t>Solution de référence</t>
  </si>
  <si>
    <t>CIRCUIT PRIMAIRE</t>
  </si>
  <si>
    <t>CIRCUIT SECONDAIRE</t>
  </si>
  <si>
    <t>Dans le cas d’une installation réversible (chaud/froid), les compteurs d’énergie doivent être réversibles.</t>
  </si>
  <si>
    <t>Monitoring, réception, mise en service et entretien-maintenance</t>
  </si>
  <si>
    <t>1. b</t>
  </si>
  <si>
    <t xml:space="preserve">fonctionnement chauffage ou froid avec préchauffage ECS </t>
  </si>
  <si>
    <t>Bilan énergétique et environnemental</t>
  </si>
  <si>
    <t>Projets soumis à autorisation</t>
  </si>
  <si>
    <t>%si oui RT 2012 -20%</t>
  </si>
  <si>
    <t>2 - bis - Description du site et des moyens actuels de production et de distribution</t>
  </si>
  <si>
    <t>Caractéristiques techniques</t>
  </si>
  <si>
    <t>Remarques complémentaires</t>
  </si>
  <si>
    <t>1. c</t>
  </si>
  <si>
    <t xml:space="preserve">fonctionnement chauffage, freecooling avec préchauffage ECS </t>
  </si>
  <si>
    <r>
      <t> </t>
    </r>
    <r>
      <rPr>
        <sz val="10"/>
        <color rgb="FF003399"/>
        <rFont val="Arial"/>
        <family val="2"/>
      </rPr>
      <t>Pour le geocooling, il manque un echangeur situé en amont du compteur Cet4</t>
    </r>
  </si>
  <si>
    <t xml:space="preserve">3 - Description des besoins thermiques </t>
  </si>
  <si>
    <t xml:space="preserve">Bâtiments </t>
  </si>
  <si>
    <t xml:space="preserve">Type </t>
  </si>
  <si>
    <t>Surface</t>
  </si>
  <si>
    <t>Besoins utiles (MWh/an)</t>
  </si>
  <si>
    <t>Puissance à installer</t>
  </si>
  <si>
    <t>Neuf/Exsistant</t>
  </si>
  <si>
    <t>Valeur</t>
  </si>
  <si>
    <t>Si Neuf, Cep</t>
  </si>
  <si>
    <t xml:space="preserve">Chaud </t>
  </si>
  <si>
    <t>Froid</t>
  </si>
  <si>
    <t>ECS</t>
  </si>
  <si>
    <t>Cep/DPE</t>
  </si>
  <si>
    <t>Tertiaire</t>
  </si>
  <si>
    <t>logements</t>
  </si>
  <si>
    <t>%Cep max toujours le même? Vérifier comment c'est calculé</t>
  </si>
  <si>
    <t>%vérifier les 20%</t>
  </si>
  <si>
    <t>%si changement de système de chauffage = &gt; ne pas rensigner?</t>
  </si>
  <si>
    <t>4 - A Caractéristiques techniques des installations de surface</t>
  </si>
  <si>
    <t>Chauffage</t>
  </si>
  <si>
    <t>PAC 1</t>
  </si>
  <si>
    <t>Type d’équipement</t>
  </si>
  <si>
    <t>PAC double service, PAC réversible, PAC gaz,…</t>
  </si>
  <si>
    <t>%en fonction de ce qui est choisi, proposer les questions COP</t>
  </si>
  <si>
    <t>Puissance (kW)</t>
  </si>
  <si>
    <t>PAC à absorption</t>
  </si>
  <si>
    <t>COP normé selon EN 14511-2* </t>
  </si>
  <si>
    <t>2. a</t>
  </si>
  <si>
    <t>COP / EER** à la température de fonctionnement du projet</t>
  </si>
  <si>
    <t>Température de fonctionnement à l’évaporateur (°C)</t>
  </si>
  <si>
    <t>Température de fonctionnement au condenseur (°C)</t>
  </si>
  <si>
    <t>COP/EER saisonnier</t>
  </si>
  <si>
    <t>Nombre d’heures équivalentes à puissance nominale (h)</t>
  </si>
  <si>
    <t>Type de fluide frigorigène</t>
  </si>
  <si>
    <t>Masse de fluide frigorigène contenue dans la PAC</t>
  </si>
  <si>
    <t>Si PAC 2</t>
  </si>
  <si>
    <t>Type d’équipement (PAC double service, PAC réversible, PAC gaz,…)</t>
  </si>
  <si>
    <t>APPOINT</t>
  </si>
  <si>
    <t>Puissance installée (kW)</t>
  </si>
  <si>
    <t>Rendement</t>
  </si>
  <si>
    <t>fonctionnement chauffage ou froid avec préchauffage ECS</t>
  </si>
  <si>
    <t>Nature du combustible (gaz, fioul, électricité, …)</t>
  </si>
  <si>
    <t>4 - B Caractéristiques techniques des installations aidées</t>
  </si>
  <si>
    <t>Typologie de l’installation géothermique</t>
  </si>
  <si>
    <t>Usages de l’installation</t>
  </si>
  <si>
    <t>Types de travaux</t>
  </si>
  <si>
    <t>PAC sur aquifère superficiel</t>
  </si>
  <si>
    <t>Construction neuve</t>
  </si>
  <si>
    <t>PAC sur champ de sondes géothermiques verticales</t>
  </si>
  <si>
    <t>Eau Chaude Sanitaire</t>
  </si>
  <si>
    <t>Rénovation complète</t>
  </si>
  <si>
    <t>PAC sur eaux de surface</t>
  </si>
  <si>
    <t>Froid actif</t>
  </si>
  <si>
    <t>Rénovation énergétique</t>
  </si>
  <si>
    <t>PAC sur eaux usées eaux d’exhaure (mines, tunnels, etc.), eaux thermales</t>
  </si>
  <si>
    <t>Géocooling</t>
  </si>
  <si>
    <t>Installation sur aquifère superficiel</t>
  </si>
  <si>
    <t>CARACTERISTIQUES DES FORAGES</t>
  </si>
  <si>
    <t>Nombre de forage de production</t>
  </si>
  <si>
    <t>Nombre de forage de réinjection</t>
  </si>
  <si>
    <t xml:space="preserve">Profondeur </t>
  </si>
  <si>
    <t xml:space="preserve">Diamètre de forage </t>
  </si>
  <si>
    <t>mm</t>
  </si>
  <si>
    <t>Nappe captée </t>
  </si>
  <si>
    <t>Niveau de la nappe au repos</t>
  </si>
  <si>
    <t>m/TN</t>
  </si>
  <si>
    <t xml:space="preserve">Hauteur de cimentation </t>
  </si>
  <si>
    <t xml:space="preserve">Epaisseur du ciment </t>
  </si>
  <si>
    <t>%préciser</t>
  </si>
  <si>
    <t>Epaisseur du massif filtrant</t>
  </si>
  <si>
    <t>Présence d'un échangeur primaire</t>
  </si>
  <si>
    <t>Distance entre forages</t>
  </si>
  <si>
    <t>Type de rejet en cas de non réinjection </t>
  </si>
  <si>
    <t>BESOINS EN EAU SOUTERRAINE</t>
  </si>
  <si>
    <t>Production de chaud</t>
  </si>
  <si>
    <t>Production de froid</t>
  </si>
  <si>
    <t>Débit maximum</t>
  </si>
  <si>
    <t>m3/h</t>
  </si>
  <si>
    <t>%préciser ce qui est attendu</t>
  </si>
  <si>
    <t>Débit moyen correspondant à la durée de fonctionnement annuelle</t>
  </si>
  <si>
    <t xml:space="preserve">Durée de fonctionnement annuelle </t>
  </si>
  <si>
    <t>h/an</t>
  </si>
  <si>
    <t xml:space="preserve">Ecart de température prélèvement/rejet </t>
  </si>
  <si>
    <t>°C</t>
  </si>
  <si>
    <t>Installation sur champ de sondes</t>
  </si>
  <si>
    <t>Nombre de sondes</t>
  </si>
  <si>
    <t>Longueur totale du captage</t>
  </si>
  <si>
    <t>Type de sonde (simple U, double U, ...)</t>
  </si>
  <si>
    <t>Diamètre extérieur des tuyaux</t>
  </si>
  <si>
    <t>Espacement moyen entre sondes</t>
  </si>
  <si>
    <t xml:space="preserve">Puissance maximale d'extraction par m de sonde </t>
  </si>
  <si>
    <t>W/m</t>
  </si>
  <si>
    <t>%menu déroulant</t>
  </si>
  <si>
    <t>Energie maximale d’extraction par m de sonde</t>
  </si>
  <si>
    <t>kWh/an/m</t>
  </si>
  <si>
    <t>Durée de fonctionnement annuelle</t>
  </si>
  <si>
    <t>Installation sur eaux usées/eaux de surface (en réseau ou en station d'épuration)</t>
  </si>
  <si>
    <t xml:space="preserve"> INSTALLATION EN COLLECTEURS</t>
  </si>
  <si>
    <t xml:space="preserve"> Diamètre du collecteur </t>
  </si>
  <si>
    <t xml:space="preserve"> Type de collecteur (circulaire, ovoïde, dalot)</t>
  </si>
  <si>
    <t>%en step</t>
  </si>
  <si>
    <t xml:space="preserve"> Pente du collecteur</t>
  </si>
  <si>
    <t>mm/m</t>
  </si>
  <si>
    <t>%ne pas remplir si non</t>
  </si>
  <si>
    <t xml:space="preserve"> Nature des effluents circulant dans le collecteur (eaux grises, noires, pluviales…)</t>
  </si>
  <si>
    <t xml:space="preserve"> Type d’échangeur (à plaques, coaxial...)</t>
  </si>
  <si>
    <t>%liste</t>
  </si>
  <si>
    <t xml:space="preserve"> Surface totale de l’échangeur</t>
  </si>
  <si>
    <t xml:space="preserve"> Puissance extraite par l’échangeur</t>
  </si>
  <si>
    <t xml:space="preserve"> INSTALLATION EN STATION D'EPURATION</t>
  </si>
  <si>
    <t>BESOINS EN EAUX USEES</t>
  </si>
  <si>
    <t xml:space="preserve"> Débit moyen par temps sec </t>
  </si>
  <si>
    <t>L/s</t>
  </si>
  <si>
    <t xml:space="preserve"> Température moyenne des eaux usées </t>
  </si>
  <si>
    <t xml:space="preserve"> Ecart de température avant et après échangeur </t>
  </si>
  <si>
    <t xml:space="preserve"> Distance entre collecteur et chaufferie </t>
  </si>
  <si>
    <t xml:space="preserve"> m</t>
  </si>
  <si>
    <t xml:space="preserve"> Distance entre chaufferie et émetteurs de chaleur  </t>
  </si>
  <si>
    <t>4 - Comptage et suivi</t>
  </si>
  <si>
    <t>Compteur d'énergie</t>
  </si>
  <si>
    <t>Compteur d'énergie électrique</t>
  </si>
  <si>
    <t>Capteurs de température</t>
  </si>
  <si>
    <t>Débitmètre</t>
  </si>
  <si>
    <t>Cet 1</t>
  </si>
  <si>
    <t>Cee 1</t>
  </si>
  <si>
    <t>T</t>
  </si>
  <si>
    <t>Cet 2</t>
  </si>
  <si>
    <t>Cee 2</t>
  </si>
  <si>
    <t>Cet 3</t>
  </si>
  <si>
    <t>Cee 3</t>
  </si>
  <si>
    <t>Cet 4</t>
  </si>
  <si>
    <t>Cee 4</t>
  </si>
  <si>
    <t>% faire le lien avec les bâtiments concernés….?</t>
  </si>
  <si>
    <t>Cee 5</t>
  </si>
  <si>
    <t>%repréciser l'intitulé des compteurs</t>
  </si>
  <si>
    <t>Capteurs de niveau d'eau (géotermie sur nappe)</t>
  </si>
  <si>
    <t>%ou gaz si pac gaz</t>
  </si>
  <si>
    <t>Dans le forage de captage</t>
  </si>
  <si>
    <t>Dans le forage d'injection</t>
  </si>
  <si>
    <t>5 - Comparatif projet géothermique/solution de référence</t>
  </si>
  <si>
    <t>Descriptif de la solution de référence</t>
  </si>
  <si>
    <t>Type d'équipement</t>
  </si>
  <si>
    <t xml:space="preserve">Puissance installée kW </t>
  </si>
  <si>
    <t>Répartition énergie</t>
  </si>
  <si>
    <t>Solution géothermique</t>
  </si>
  <si>
    <t>Consommation énergétique</t>
  </si>
  <si>
    <t>PAC</t>
  </si>
  <si>
    <t>Extraction énergétique sous-sol</t>
  </si>
  <si>
    <t xml:space="preserve">Gaz </t>
  </si>
  <si>
    <t>Production énergétique</t>
  </si>
  <si>
    <t>Nombre de MWh produits</t>
  </si>
  <si>
    <t>Numéro chaudière d’appoint</t>
  </si>
  <si>
    <r>
      <t xml:space="preserve">Besoins utiles </t>
    </r>
    <r>
      <rPr>
        <b/>
        <sz val="11"/>
        <rFont val="Calibri Light"/>
        <family val="2"/>
        <scheme val="major"/>
      </rPr>
      <t>chaleur</t>
    </r>
    <r>
      <rPr>
        <sz val="11"/>
        <rFont val="Calibri Light"/>
        <family val="2"/>
        <scheme val="major"/>
      </rPr>
      <t xml:space="preserve"> tous usages annuels</t>
    </r>
  </si>
  <si>
    <t xml:space="preserve">Remplir les cases </t>
  </si>
  <si>
    <t>Géothermie</t>
  </si>
  <si>
    <t>Type</t>
  </si>
  <si>
    <t>Type de géothermie</t>
  </si>
  <si>
    <t>MWh d'EnR prélevée sur la nappe, le ss sol</t>
  </si>
  <si>
    <t>PAC champ de sondes</t>
  </si>
  <si>
    <t>COP = Energie utile / Energie fournie</t>
  </si>
  <si>
    <t>Energie fournie = énergie consommée par la PAC (élec ou gaz)</t>
  </si>
  <si>
    <t>Bureau d'études sous-sol</t>
  </si>
  <si>
    <t>Bureau d’études environnement</t>
  </si>
  <si>
    <t>GEOTHERMIE</t>
  </si>
  <si>
    <t>Typologie de l'installation</t>
  </si>
  <si>
    <t>Usage</t>
  </si>
  <si>
    <t>PAC sur eaux usées, eaux d'exhaure (mines, tunnels), eaux thermales</t>
  </si>
  <si>
    <t>Usage de l'installation</t>
  </si>
  <si>
    <t>Type de travaux</t>
  </si>
  <si>
    <t>Travaux</t>
  </si>
  <si>
    <r>
      <t>-</t>
    </r>
    <r>
      <rPr>
        <b/>
        <u/>
        <sz val="11"/>
        <color theme="1"/>
        <rFont val="Calibri"/>
        <family val="2"/>
        <scheme val="minor"/>
      </rPr>
      <t>Fiche projet géothermie</t>
    </r>
    <r>
      <rPr>
        <u/>
        <sz val="11"/>
        <color theme="1"/>
        <rFont val="Calibri"/>
        <family val="2"/>
        <scheme val="minor"/>
      </rPr>
      <t>:</t>
    </r>
  </si>
  <si>
    <t xml:space="preserve">Ne pas remplir ; à masquer </t>
  </si>
  <si>
    <t>Cette feuille utilise les feuilles "Simulation FC geothermie" ,"menus geothermie"(masquée)</t>
  </si>
  <si>
    <t>PAC sur aquifère superficiel ou eau de nappe</t>
  </si>
  <si>
    <t>La réglementation des milieux naturels.</t>
  </si>
  <si>
    <t>• Une attestation du porteur de projet attestant qu'il s'engage à respecter les éléments suivants:</t>
  </si>
  <si>
    <t>-Schémas FC geothermie</t>
  </si>
  <si>
    <t xml:space="preserve">Aquifère : </t>
  </si>
  <si>
    <t>Formation géologique contenant de façon temporaire ou permanente de l'eau mobilisable, constituée de roches perméables et capable de la restituer naturellement et/ou par exploitation. On distingue :</t>
  </si>
  <si>
    <t>- Aquifère à nappe libre : l’aquifère reposant sur une couche très peu perméable est surmontée d'une zone non saturée en eau.</t>
  </si>
  <si>
    <t>- Aquifère captif (ou nappe captive) : dans une nappe captive, l'eau souterraine est confinée entre deux formations très peu perméables. Lorsqu'un forage atteint une nappe captive, l'eau remonte dans le forage.</t>
  </si>
  <si>
    <t>Champ de sondes géothermiques</t>
  </si>
  <si>
    <t>Installation sous-sol comportant plusieurs sondes géothermiques verticales. Celles-ci doivent être suffisamment espacées les unes des autres pour éviter des interférences thermiques entre les sondes pouvant nuire à leur bon fonctionnement (risque de gel des terrains).</t>
  </si>
  <si>
    <t>Compresseur</t>
  </si>
  <si>
    <t>Dans une PAC, organe électromécanique chargé de comprimer le fluide frigorigène gazeux.</t>
  </si>
  <si>
    <t>Condenseur</t>
  </si>
  <si>
    <t>Dans une PAC, échangeur de chaleur permettant de faire passer le fluide frigorigène de l'état gazeux à l'état liquide.</t>
  </si>
  <si>
    <t>COP</t>
  </si>
  <si>
    <t>Coefficient de performance. Le plus courant est le COP machine qui est égal au rapport entre la puissance thermique restituée au condenseur et la puissance électrique consommée par le compresseur.</t>
  </si>
  <si>
    <t xml:space="preserve">Doublet : </t>
  </si>
  <si>
    <t>Ensemble de deux forages, l’un assigné à la production, l'autre à la réinjection dans l'aquifère d'origine.</t>
  </si>
  <si>
    <t>Evaporateur</t>
  </si>
  <si>
    <t>Dans une PAC, échangeur de chaleur permettant de faire passer le fluide frigorigène de l'état liquide à l'état gazeux.</t>
  </si>
  <si>
    <t>Free cooling ou Géo Cooling</t>
  </si>
  <si>
    <t>Rafraîchissement gratuit, dans le cas d’utilisation d’aquifères, il s’agit d’utiliser la capacité de refroidissement du fluide sans utiliser la PAC.</t>
  </si>
  <si>
    <t xml:space="preserve">Gradient géothermal </t>
  </si>
  <si>
    <t xml:space="preserve">Elévation de la température du sol avec la profondeur. Près de la surface terrestre, il est en moyenne de 3°C/100 m. </t>
  </si>
  <si>
    <t>Sonde géothermique verticale</t>
  </si>
  <si>
    <t>Une sonde géothermique est constituée par un forage équipé pour fonctionner comme un échangeur de chaleur. Une boucle en polyéthylène, dans laquelle circule en circuit fermé un fluide caloporteur (généralement de l'eau additionnée de glycol) est insérée dans le forage, suivant une configuration 2 tubes (dite en U) ou 4 tubes (dite en double U), d'un diamètre compris entre 25 et 40 mm Le forage – lui-même d'un diamètre de 110 à 125 mm – est ensuite rempli avec un mélange de ciment et de bentonite qui stabilise le trou dans sa géométrie originelle. La profondeur d'une sonde va de quelques dizaines de mètre jusqu'à 100 m.</t>
  </si>
  <si>
    <t>Liste des pièces à fournir</t>
  </si>
  <si>
    <t>Validé?</t>
  </si>
  <si>
    <t>• La synthèse</t>
  </si>
  <si>
    <t>• Ce document présent à rempir "Fiche projet geothermie"</t>
  </si>
  <si>
    <r>
      <rPr>
        <b/>
        <sz val="11"/>
        <rFont val="Calibri Light"/>
        <family val="2"/>
        <scheme val="major"/>
      </rPr>
      <t xml:space="preserve">La réglementation sous-sol </t>
    </r>
    <r>
      <rPr>
        <sz val="11"/>
        <rFont val="Calibri Light"/>
        <family val="2"/>
        <scheme val="major"/>
      </rPr>
      <t>(les obligations réglementaires liées aux opérations de géothermie de minime importance).Le décret précise les règles relatives aux droits et obligation des exploitants notamment en cas de dommages ainsi que celles relatives à l’arrêt d’exploitation. Il prévoit notamment, que les travaux devront être réalisés par des entreprises de forage disposant des qualifications requises (« Qualiforage » convient).</t>
    </r>
  </si>
  <si>
    <r>
      <rPr>
        <b/>
        <sz val="11"/>
        <rFont val="Calibri Light"/>
        <family val="2"/>
        <scheme val="major"/>
      </rPr>
      <t>Exploitation, entretien et maintenance</t>
    </r>
    <r>
      <rPr>
        <sz val="11"/>
        <rFont val="Calibri Light"/>
        <family val="2"/>
        <scheme val="major"/>
      </rPr>
      <t xml:space="preserve"> : le maître d'ouvrage doit assurer ou confier à un prestataire compétent le suivi des performances de l'installation pendant toute sa durée de vie. Dès la mise en service, le maître d’ouvrage doit souscrire un (ou des) contrat(s) d’entretien couvrant l’intégralité des installations de forage et de génie climatique (et selon les technologies utilisées, les équipements de récupération d’énergie sur eaux usées).</t>
    </r>
  </si>
  <si>
    <t>2 - Pièces à fournir</t>
  </si>
  <si>
    <t>mieux intégrer la liste des shémas</t>
  </si>
  <si>
    <t>2 - Besoins thermiques</t>
  </si>
  <si>
    <r>
      <t xml:space="preserve">Tableur Fonds Chaleur - GEOTHERMIE - </t>
    </r>
    <r>
      <rPr>
        <b/>
        <sz val="16"/>
        <color indexed="10"/>
        <rFont val="Arial"/>
        <family val="2"/>
      </rPr>
      <t>PAC sur nappe</t>
    </r>
  </si>
  <si>
    <t xml:space="preserve">ADEME, Service Réseaux et Energies Renouvelables (SRER), Valbonne - France </t>
  </si>
  <si>
    <t>Objectif</t>
  </si>
  <si>
    <t>Calcul du montant d'aide à partir d'une décote qui rend -si possible- le MWh géothermique 5% moins cher par rapport au MWh système de référence</t>
  </si>
  <si>
    <t>Montant d'investissement et d'exploitation</t>
  </si>
  <si>
    <r>
      <t>Tous les montants</t>
    </r>
    <r>
      <rPr>
        <b/>
        <sz val="10"/>
        <color indexed="10"/>
        <rFont val="Arial"/>
        <family val="2"/>
      </rPr>
      <t xml:space="preserve"> sont exprimés en € HT en cas de récupération de la TVA
</t>
    </r>
    <r>
      <rPr>
        <b/>
        <u/>
        <sz val="10"/>
        <color indexed="10"/>
        <rFont val="Arial"/>
        <family val="2"/>
      </rPr>
      <t>Tous les montants</t>
    </r>
    <r>
      <rPr>
        <b/>
        <sz val="10"/>
        <color indexed="10"/>
        <rFont val="Arial"/>
        <family val="2"/>
      </rPr>
      <t xml:space="preserve"> sont exprimés en € TTC en cas de non-récupération de la TVA </t>
    </r>
  </si>
  <si>
    <t>cellules à renseigner</t>
  </si>
  <si>
    <t>cellules calculées</t>
  </si>
  <si>
    <t>cellules indicateur LISA</t>
  </si>
  <si>
    <t>cellules à renseigner si possible</t>
  </si>
  <si>
    <t>cellules d'information statistique</t>
  </si>
  <si>
    <t>Remarques de l'ingénieur sur l'instruction du dossier</t>
  </si>
  <si>
    <t>C e l l u l e  p o u r  r e m a r q u e s  d e  l’ i n g é n i e u r  s u r  l’ i n s t r u c t i o n  d u  d o s s i e r</t>
  </si>
  <si>
    <t>Projet géothermie</t>
  </si>
  <si>
    <t>Solution de Référence</t>
  </si>
  <si>
    <t>Indicateurs d'alerte</t>
  </si>
  <si>
    <t>DESCRIPTION DU PROJET</t>
  </si>
  <si>
    <t>INFO PROJET</t>
  </si>
  <si>
    <t>Opération</t>
  </si>
  <si>
    <t>Prévision de livraison</t>
  </si>
  <si>
    <t>DOSSIER : numéro / date</t>
  </si>
  <si>
    <t>Région/Département/Commune</t>
  </si>
  <si>
    <t>Type de bénéficiaire PE/ME/GE/activité économique/activité non économique</t>
  </si>
  <si>
    <t>Activité non économique</t>
  </si>
  <si>
    <t>Type Bâtiment</t>
  </si>
  <si>
    <t>Secteur d'activité</t>
  </si>
  <si>
    <t>Administration</t>
  </si>
  <si>
    <t xml:space="preserve"> ELIGIBILITE DU PROJET</t>
  </si>
  <si>
    <r>
      <t xml:space="preserve">Surface bâtiments en </t>
    </r>
    <r>
      <rPr>
        <b/>
        <sz val="10"/>
        <rFont val="Arial"/>
        <family val="2"/>
      </rPr>
      <t>m²</t>
    </r>
    <r>
      <rPr>
        <sz val="11"/>
        <color theme="1"/>
        <rFont val="Calibri"/>
        <family val="2"/>
        <scheme val="minor"/>
      </rPr>
      <t xml:space="preserve"> (SHON)</t>
    </r>
  </si>
  <si>
    <r>
      <t xml:space="preserve">Puissance thermique de la PAC aux conditions d'application en </t>
    </r>
    <r>
      <rPr>
        <b/>
        <sz val="10"/>
        <rFont val="Arial"/>
        <family val="2"/>
      </rPr>
      <t>kW</t>
    </r>
    <r>
      <rPr>
        <sz val="10"/>
        <rFont val="Arial"/>
        <family val="2"/>
      </rPr>
      <t xml:space="preserve"> </t>
    </r>
  </si>
  <si>
    <r>
      <t>COP</t>
    </r>
    <r>
      <rPr>
        <sz val="11"/>
        <color theme="1"/>
        <rFont val="Calibri"/>
        <family val="2"/>
        <scheme val="minor"/>
      </rPr>
      <t xml:space="preserve"> PAC aux conditions d'application</t>
    </r>
  </si>
  <si>
    <r>
      <t>COP</t>
    </r>
    <r>
      <rPr>
        <sz val="11"/>
        <color theme="1"/>
        <rFont val="Calibri"/>
        <family val="2"/>
        <scheme val="minor"/>
      </rPr>
      <t xml:space="preserve"> PAC (machine) selon EN 14511</t>
    </r>
  </si>
  <si>
    <t>DONNEES TECHNIQUES</t>
  </si>
  <si>
    <r>
      <t xml:space="preserve">Distance entre le pompage et la réinjection </t>
    </r>
    <r>
      <rPr>
        <sz val="10"/>
        <rFont val="Arial"/>
        <family val="2"/>
      </rPr>
      <t>en</t>
    </r>
    <r>
      <rPr>
        <b/>
        <sz val="10"/>
        <rFont val="Arial"/>
        <family val="2"/>
      </rPr>
      <t xml:space="preserve"> ml</t>
    </r>
  </si>
  <si>
    <r>
      <t>Profondeur de tirage</t>
    </r>
    <r>
      <rPr>
        <b/>
        <sz val="10"/>
        <rFont val="Arial"/>
        <family val="2"/>
      </rPr>
      <t xml:space="preserve"> </t>
    </r>
    <r>
      <rPr>
        <sz val="10"/>
        <rFont val="Arial"/>
        <family val="2"/>
      </rPr>
      <t>en</t>
    </r>
    <r>
      <rPr>
        <b/>
        <sz val="10"/>
        <rFont val="Arial"/>
        <family val="2"/>
      </rPr>
      <t xml:space="preserve"> ml</t>
    </r>
  </si>
  <si>
    <t>Nombre de puits de forage (pompage et réinjection)</t>
  </si>
  <si>
    <r>
      <t>Distance entre le(s) forage(s) de pompage et la PAC</t>
    </r>
    <r>
      <rPr>
        <b/>
        <sz val="10"/>
        <rFont val="Arial"/>
        <family val="2"/>
      </rPr>
      <t xml:space="preserve"> </t>
    </r>
    <r>
      <rPr>
        <sz val="10"/>
        <rFont val="Arial"/>
        <family val="2"/>
      </rPr>
      <t>en</t>
    </r>
    <r>
      <rPr>
        <b/>
        <sz val="10"/>
        <rFont val="Arial"/>
        <family val="2"/>
      </rPr>
      <t xml:space="preserve"> ml</t>
    </r>
  </si>
  <si>
    <t>Echangeur de barrage</t>
  </si>
  <si>
    <t>BESOINS</t>
  </si>
  <si>
    <t>CHAUFFAGE</t>
  </si>
  <si>
    <t>DONNEES THERMIQUES</t>
  </si>
  <si>
    <r>
      <t xml:space="preserve">Besoins annuels en chaud en </t>
    </r>
    <r>
      <rPr>
        <b/>
        <sz val="10"/>
        <rFont val="Arial"/>
        <family val="2"/>
      </rPr>
      <t xml:space="preserve">MWh/an </t>
    </r>
  </si>
  <si>
    <t>Taux de couverture de la PAC</t>
  </si>
  <si>
    <r>
      <t xml:space="preserve">Production thermique sortie PAC en </t>
    </r>
    <r>
      <rPr>
        <b/>
        <sz val="10"/>
        <rFont val="Arial"/>
        <family val="2"/>
      </rPr>
      <t>MWh/an</t>
    </r>
  </si>
  <si>
    <r>
      <t xml:space="preserve">Consommation électrique de la PAC en </t>
    </r>
    <r>
      <rPr>
        <b/>
        <sz val="10"/>
        <rFont val="Arial"/>
        <family val="2"/>
      </rPr>
      <t>MWh/an</t>
    </r>
    <r>
      <rPr>
        <sz val="11"/>
        <color theme="1"/>
        <rFont val="Calibri"/>
        <family val="2"/>
        <scheme val="minor"/>
      </rPr>
      <t xml:space="preserve"> </t>
    </r>
  </si>
  <si>
    <r>
      <t xml:space="preserve">Consommation électrique de la pompe sur la source froide en </t>
    </r>
    <r>
      <rPr>
        <b/>
        <sz val="10"/>
        <rFont val="Arial"/>
        <family val="2"/>
      </rPr>
      <t>MWh/an</t>
    </r>
  </si>
  <si>
    <t xml:space="preserve">Puissance électrique de la PAC en kW </t>
  </si>
  <si>
    <t>Type énergie d'appoint à la géothermie ou à la solution référence</t>
  </si>
  <si>
    <r>
      <t xml:space="preserve">Puissance thermique de l'appoint et de la solution de référence en </t>
    </r>
    <r>
      <rPr>
        <b/>
        <sz val="10"/>
        <rFont val="Arial"/>
        <family val="2"/>
      </rPr>
      <t xml:space="preserve">kW </t>
    </r>
  </si>
  <si>
    <r>
      <t xml:space="preserve">Rendement moyen de l'appoint et de la solution de référence </t>
    </r>
    <r>
      <rPr>
        <b/>
        <sz val="10"/>
        <rFont val="Arial"/>
        <family val="2"/>
      </rPr>
      <t>PCI</t>
    </r>
  </si>
  <si>
    <r>
      <t>Consommation de l'appoint et de la solution de référence en</t>
    </r>
    <r>
      <rPr>
        <b/>
        <sz val="10"/>
        <rFont val="Arial"/>
        <family val="2"/>
      </rPr>
      <t xml:space="preserve"> MWh/an </t>
    </r>
  </si>
  <si>
    <r>
      <t>Consommation TOTALE Chauffage en</t>
    </r>
    <r>
      <rPr>
        <b/>
        <sz val="10"/>
        <rFont val="Arial"/>
        <family val="2"/>
      </rPr>
      <t xml:space="preserve"> MWh/an </t>
    </r>
  </si>
  <si>
    <r>
      <t xml:space="preserve">Besoins annuels en ECS en </t>
    </r>
    <r>
      <rPr>
        <b/>
        <sz val="10"/>
        <rFont val="Arial"/>
        <family val="2"/>
      </rPr>
      <t>MWh/an</t>
    </r>
  </si>
  <si>
    <t>% d'ECS produit hors période de chauffe</t>
  </si>
  <si>
    <r>
      <t xml:space="preserve">Consommation de la PAC et de la référence en </t>
    </r>
    <r>
      <rPr>
        <b/>
        <sz val="10"/>
        <rFont val="Arial"/>
        <family val="2"/>
      </rPr>
      <t>MWh/an</t>
    </r>
    <r>
      <rPr>
        <sz val="11"/>
        <color theme="1"/>
        <rFont val="Calibri"/>
        <family val="2"/>
        <scheme val="minor"/>
      </rPr>
      <t xml:space="preserve"> </t>
    </r>
  </si>
  <si>
    <r>
      <t xml:space="preserve">Consommation Auxiliaires en </t>
    </r>
    <r>
      <rPr>
        <b/>
        <sz val="10"/>
        <rFont val="Arial"/>
        <family val="2"/>
      </rPr>
      <t>MWh/an</t>
    </r>
  </si>
  <si>
    <t>Type énergie à l'appoint de la géothermie et à la solution référence</t>
  </si>
  <si>
    <t>Electrique</t>
  </si>
  <si>
    <t xml:space="preserve">Couplé à la solution de référence </t>
  </si>
  <si>
    <t>Rendement de la solution de référence</t>
  </si>
  <si>
    <r>
      <t xml:space="preserve">Part d'ECS produit par l'appoint (complément préchauffe) en </t>
    </r>
    <r>
      <rPr>
        <b/>
        <sz val="10"/>
        <rFont val="Arial"/>
        <family val="2"/>
      </rPr>
      <t>MWh/an</t>
    </r>
  </si>
  <si>
    <r>
      <t xml:space="preserve">Rendement moyen de l'appoint </t>
    </r>
    <r>
      <rPr>
        <b/>
        <sz val="10"/>
        <rFont val="Arial"/>
        <family val="2"/>
      </rPr>
      <t>(PCI combustibles)</t>
    </r>
  </si>
  <si>
    <t>b</t>
  </si>
  <si>
    <r>
      <t>Consommation pompe froid en</t>
    </r>
    <r>
      <rPr>
        <b/>
        <sz val="10"/>
        <rFont val="Arial"/>
        <family val="2"/>
      </rPr>
      <t xml:space="preserve"> MWh/an</t>
    </r>
  </si>
  <si>
    <r>
      <t>Consommation Circulateur sur ballon d'ECS en</t>
    </r>
    <r>
      <rPr>
        <b/>
        <sz val="10"/>
        <rFont val="Arial"/>
        <family val="2"/>
      </rPr>
      <t xml:space="preserve"> MWh/an</t>
    </r>
  </si>
  <si>
    <r>
      <t xml:space="preserve">Consommation </t>
    </r>
    <r>
      <rPr>
        <b/>
        <sz val="10"/>
        <rFont val="Arial"/>
        <family val="2"/>
      </rPr>
      <t>TOTALE</t>
    </r>
    <r>
      <rPr>
        <sz val="11"/>
        <color theme="1"/>
        <rFont val="Calibri"/>
        <family val="2"/>
        <scheme val="minor"/>
      </rPr>
      <t xml:space="preserve"> pour la production d'ECS en</t>
    </r>
    <r>
      <rPr>
        <b/>
        <sz val="10"/>
        <rFont val="Arial"/>
        <family val="2"/>
      </rPr>
      <t xml:space="preserve"> MWh/an </t>
    </r>
  </si>
  <si>
    <t>MWh ENR chauffage + ECS produites</t>
  </si>
  <si>
    <t>FROID</t>
  </si>
  <si>
    <t>Seules les opérations de géocooling et de Thermofrigopompes géothermiques sont éligibles au FC</t>
  </si>
  <si>
    <r>
      <t xml:space="preserve">Besoins annuels en Froid en </t>
    </r>
    <r>
      <rPr>
        <b/>
        <sz val="10"/>
        <rFont val="Arial"/>
        <family val="2"/>
      </rPr>
      <t>MWh/an</t>
    </r>
  </si>
  <si>
    <r>
      <t>Puissance frigorifique de la PAC (</t>
    </r>
    <r>
      <rPr>
        <b/>
        <sz val="10"/>
        <rFont val="Arial"/>
        <family val="2"/>
      </rPr>
      <t>kW</t>
    </r>
    <r>
      <rPr>
        <sz val="10"/>
        <rFont val="Arial"/>
        <family val="2"/>
      </rPr>
      <t>) aux conditions d'application</t>
    </r>
  </si>
  <si>
    <r>
      <t>Puissance frigorifique de l'appoint et de la solution de référence (</t>
    </r>
    <r>
      <rPr>
        <b/>
        <sz val="10"/>
        <rFont val="Arial"/>
        <family val="2"/>
      </rPr>
      <t xml:space="preserve">kW) </t>
    </r>
  </si>
  <si>
    <r>
      <t xml:space="preserve">Froid fourni simultanée au mode chaud </t>
    </r>
    <r>
      <rPr>
        <b/>
        <sz val="10"/>
        <rFont val="Arial"/>
        <family val="2"/>
      </rPr>
      <t>MWh/an</t>
    </r>
  </si>
  <si>
    <r>
      <t xml:space="preserve">Rafraîchissement fourni par géocooling ou Free cooling </t>
    </r>
    <r>
      <rPr>
        <b/>
        <sz val="10"/>
        <rFont val="Arial"/>
        <family val="2"/>
      </rPr>
      <t>MWh/an</t>
    </r>
  </si>
  <si>
    <r>
      <t xml:space="preserve">Froid actif fourni hors mode simultané </t>
    </r>
    <r>
      <rPr>
        <b/>
        <sz val="10"/>
        <rFont val="Arial"/>
        <family val="2"/>
      </rPr>
      <t>MWh/an</t>
    </r>
  </si>
  <si>
    <r>
      <t xml:space="preserve">Consommation </t>
    </r>
    <r>
      <rPr>
        <b/>
        <sz val="10"/>
        <rFont val="Arial"/>
        <family val="2"/>
      </rPr>
      <t>TOTALE</t>
    </r>
    <r>
      <rPr>
        <sz val="11"/>
        <color theme="1"/>
        <rFont val="Calibri"/>
        <family val="2"/>
        <scheme val="minor"/>
      </rPr>
      <t xml:space="preserve"> électrique en </t>
    </r>
    <r>
      <rPr>
        <b/>
        <sz val="10"/>
        <rFont val="Arial"/>
        <family val="2"/>
      </rPr>
      <t xml:space="preserve">MWh/an </t>
    </r>
  </si>
  <si>
    <t>Nb d'heures équivalentes de fonctionnement à puissance nominale</t>
  </si>
  <si>
    <t>BILAN EnR&amp;R et GES</t>
  </si>
  <si>
    <t>Production ENR (énergie extraite(mode chaud),réinjecter (mode froid)) MWh/an</t>
  </si>
  <si>
    <t>Tep ENR produites/an</t>
  </si>
  <si>
    <t>Gaz à Effet de Serre (tonne équivalent CO2 par an)</t>
  </si>
  <si>
    <r>
      <t>Total t. équiv.CO</t>
    </r>
    <r>
      <rPr>
        <b/>
        <vertAlign val="subscript"/>
        <sz val="10"/>
        <rFont val="Arial"/>
        <family val="2"/>
      </rPr>
      <t>2</t>
    </r>
    <r>
      <rPr>
        <b/>
        <sz val="10"/>
        <rFont val="Arial"/>
        <family val="2"/>
      </rPr>
      <t xml:space="preserve"> évitées</t>
    </r>
  </si>
  <si>
    <t>Consommation totale Electricité MWh/an</t>
  </si>
  <si>
    <t>INVESTISSEMENT</t>
  </si>
  <si>
    <t>ANALYSE INVESTISSEMENTS</t>
  </si>
  <si>
    <t>Investissement solution géothermique / référence en €</t>
  </si>
  <si>
    <t>Partie géothermie forages, tranchées, crépines, pompe, …</t>
  </si>
  <si>
    <t>Production de Chauffage (PAC, Appoint/ Chaudière …)</t>
  </si>
  <si>
    <t>Local technique et VRD (remise en état du terrain)</t>
  </si>
  <si>
    <t>Pour information !</t>
  </si>
  <si>
    <t>Production de froid (modif hydraulique PAC, Appoint / groupe froid aéro …)</t>
  </si>
  <si>
    <t>Production Eau Chaude Sanitaire</t>
  </si>
  <si>
    <t>Métrologie comptage et enregistrement</t>
  </si>
  <si>
    <t>Ingénierie, conception et réalisation</t>
  </si>
  <si>
    <t>Autres : (préciser en tête de page dans remarques)</t>
  </si>
  <si>
    <t>Surcoût solution géothermique en €</t>
  </si>
  <si>
    <t>Prise en compte de la CCE</t>
  </si>
  <si>
    <r>
      <t xml:space="preserve">Coût du MWh chaud énergie fossile </t>
    </r>
    <r>
      <rPr>
        <b/>
        <sz val="10"/>
        <rFont val="Arial"/>
        <family val="2"/>
      </rPr>
      <t>€ HT / MWh</t>
    </r>
  </si>
  <si>
    <t>EXPLOITATION</t>
  </si>
  <si>
    <t>ANALYSE D'EXPLOITATION (CALCUL DU P1, P'1, P2 ET P3)</t>
  </si>
  <si>
    <r>
      <t xml:space="preserve">Coût du MWh électrique </t>
    </r>
    <r>
      <rPr>
        <b/>
        <sz val="10"/>
        <rFont val="Arial"/>
        <family val="2"/>
      </rPr>
      <t>€ HT / MWh</t>
    </r>
  </si>
  <si>
    <r>
      <t>P1</t>
    </r>
    <r>
      <rPr>
        <sz val="11"/>
        <color theme="1"/>
        <rFont val="Calibri"/>
        <family val="2"/>
        <scheme val="minor"/>
      </rPr>
      <t xml:space="preserve"> énergie électrique PAC, fossile (appoint et référence) </t>
    </r>
    <r>
      <rPr>
        <b/>
        <sz val="10"/>
        <rFont val="Arial"/>
        <family val="2"/>
      </rPr>
      <t>€/an</t>
    </r>
  </si>
  <si>
    <r>
      <t>P'1</t>
    </r>
    <r>
      <rPr>
        <sz val="11"/>
        <color theme="1"/>
        <rFont val="Calibri"/>
        <family val="2"/>
        <scheme val="minor"/>
      </rPr>
      <t xml:space="preserve"> auxiliaires (électricité)</t>
    </r>
    <r>
      <rPr>
        <b/>
        <sz val="10"/>
        <rFont val="Arial"/>
        <family val="2"/>
      </rPr>
      <t xml:space="preserve"> €/an</t>
    </r>
  </si>
  <si>
    <r>
      <t>P2</t>
    </r>
    <r>
      <rPr>
        <sz val="11"/>
        <color theme="1"/>
        <rFont val="Calibri"/>
        <family val="2"/>
        <scheme val="minor"/>
      </rPr>
      <t xml:space="preserve"> (maintenance)  </t>
    </r>
    <r>
      <rPr>
        <b/>
        <sz val="10"/>
        <rFont val="Arial"/>
        <family val="2"/>
      </rPr>
      <t>€/an</t>
    </r>
  </si>
  <si>
    <r>
      <t>P3</t>
    </r>
    <r>
      <rPr>
        <sz val="11"/>
        <color theme="1"/>
        <rFont val="Calibri"/>
        <family val="2"/>
        <scheme val="minor"/>
      </rPr>
      <t xml:space="preserve"> (gros entretien et renouvellement)  </t>
    </r>
    <r>
      <rPr>
        <b/>
        <sz val="10"/>
        <rFont val="Arial"/>
        <family val="2"/>
      </rPr>
      <t>€/an</t>
    </r>
  </si>
  <si>
    <r>
      <t xml:space="preserve">Charges annuelles (P1+P'1+P2+P3) hors investissement </t>
    </r>
    <r>
      <rPr>
        <b/>
        <sz val="10"/>
        <rFont val="Arial"/>
        <family val="2"/>
      </rPr>
      <t>€/an</t>
    </r>
  </si>
  <si>
    <r>
      <t xml:space="preserve">Economie (P1+P'1+P2+P3) hors investissement </t>
    </r>
    <r>
      <rPr>
        <b/>
        <sz val="10"/>
        <rFont val="Arial"/>
        <family val="2"/>
      </rPr>
      <t>€/an</t>
    </r>
  </si>
  <si>
    <t>Durée d'emprunt (années)</t>
  </si>
  <si>
    <t>CALCUL DU P4</t>
  </si>
  <si>
    <t>taux d'emprunt</t>
  </si>
  <si>
    <r>
      <t>P4</t>
    </r>
    <r>
      <rPr>
        <sz val="11"/>
        <color theme="1"/>
        <rFont val="Calibri"/>
        <family val="2"/>
        <scheme val="minor"/>
      </rPr>
      <t xml:space="preserve"> annuité d'emprunt de l'investissement </t>
    </r>
    <r>
      <rPr>
        <b/>
        <sz val="10"/>
        <rFont val="Arial"/>
        <family val="2"/>
      </rPr>
      <t>hors subvention</t>
    </r>
    <r>
      <rPr>
        <sz val="11"/>
        <color theme="1"/>
        <rFont val="Calibri"/>
        <family val="2"/>
        <scheme val="minor"/>
      </rPr>
      <t xml:space="preserve"> €/an</t>
    </r>
  </si>
  <si>
    <t>coût du MWh utile hors subvention</t>
  </si>
  <si>
    <t>coût du MWh géothermal (EnR) produit hors subvention</t>
  </si>
  <si>
    <t>Différence coût entre solution ENR et Référence €/MWh</t>
  </si>
  <si>
    <t>Assiette d'investissement éligible production</t>
  </si>
  <si>
    <t>CALCUL DE L'AIDE</t>
  </si>
  <si>
    <t>Taux aide sur assiette production</t>
  </si>
  <si>
    <t>Montant global de l'aide forfaitaire</t>
  </si>
  <si>
    <t>Montant global de l'aide minimale</t>
  </si>
  <si>
    <t>Montant global de l'aide minimale calculée par analyse éco</t>
  </si>
  <si>
    <t>Données à titre indicatif</t>
  </si>
  <si>
    <t>Montant global de l'aide maximal</t>
  </si>
  <si>
    <t>Montant global de l'aide maximale calculée par analyse éco</t>
  </si>
  <si>
    <t>Montant global de l'aide forfaitaire ou calculée par analyse simplifiée</t>
  </si>
  <si>
    <t>Montant global de l'aide calculée par analyse éco simplifiée</t>
  </si>
  <si>
    <r>
      <t xml:space="preserve">P4 annuité d'emprunt de l'investissement </t>
    </r>
    <r>
      <rPr>
        <b/>
        <sz val="10"/>
        <rFont val="Arial"/>
        <family val="2"/>
      </rPr>
      <t>avec subvention</t>
    </r>
    <r>
      <rPr>
        <sz val="11"/>
        <color theme="1"/>
        <rFont val="Calibri"/>
        <family val="2"/>
        <scheme val="minor"/>
      </rPr>
      <t xml:space="preserve"> €/an</t>
    </r>
  </si>
  <si>
    <t>coût du MWh utile avec subvention</t>
  </si>
  <si>
    <t>coût HT du MWh géothermal (EnR) produit avec subvention</t>
  </si>
  <si>
    <t>Aide en €/MWh utile</t>
  </si>
  <si>
    <t>Aide investissement au MWh ENR produite</t>
  </si>
  <si>
    <t>Aide investissement par MWh ENR chaud produit</t>
  </si>
  <si>
    <t>Aide en % de l'investissement ENR</t>
  </si>
  <si>
    <t>Aide investissement à la tep ENR chaud produite par an sur 20 ans</t>
  </si>
  <si>
    <t>Aide investissement par MWh ENR chaud produit par an sur 20 ans</t>
  </si>
  <si>
    <t>Montant global de l'aide</t>
  </si>
  <si>
    <r>
      <t xml:space="preserve">Aide à l'investissement par MWh ENR chaud </t>
    </r>
    <r>
      <rPr>
        <b/>
        <sz val="10"/>
        <color indexed="10"/>
        <rFont val="Arial"/>
        <family val="2"/>
      </rPr>
      <t>ET froid</t>
    </r>
    <r>
      <rPr>
        <b/>
        <sz val="10"/>
        <rFont val="Arial"/>
        <family val="2"/>
      </rPr>
      <t xml:space="preserve"> produit </t>
    </r>
  </si>
  <si>
    <t>Montant de l'aide ADEME au titre du Fonds chaleur</t>
  </si>
  <si>
    <t>Montant de l'aide Hors Fonds chaleur (FEDER, …)</t>
  </si>
  <si>
    <t>% maximal du plafond de l'encadrement communautaire à respecter</t>
  </si>
  <si>
    <t>SYNTHESE &amp; ENCADREMENT COMMUNAUTAIRE</t>
  </si>
  <si>
    <t>Économie d'exploitation avec subvention sur 5 ans (pour calcul de l'encadrement)</t>
  </si>
  <si>
    <t>Vérification du plafond de l'encadrement communautaire</t>
  </si>
  <si>
    <t>Décote prix MWh géothermal /Fossile après subvention</t>
  </si>
  <si>
    <t>Décote en %</t>
  </si>
  <si>
    <t>Taux d'actualisation</t>
  </si>
  <si>
    <t>VAN  (20 ans)</t>
  </si>
  <si>
    <t>TRI   (20 ans)</t>
  </si>
  <si>
    <t>RENTABILITE</t>
  </si>
  <si>
    <t>RENTABILITE ECONOMIQUE DU PROJET</t>
  </si>
  <si>
    <t>TRB sans subvention (ans)</t>
  </si>
  <si>
    <t>TRB avec subvention (ans)</t>
  </si>
  <si>
    <t>TABLEAU POUR LE CALCUL DE LA VAN ET DU TRI</t>
  </si>
  <si>
    <t>année</t>
  </si>
  <si>
    <t>flux non actualisés</t>
  </si>
  <si>
    <t>flux actualisés (taux d'actualisation)</t>
  </si>
  <si>
    <t>Petite entreprise</t>
  </si>
  <si>
    <t>PAC aérothermique + appoint élec</t>
  </si>
  <si>
    <t>Moyenne entreprise</t>
  </si>
  <si>
    <t>Pas d'appoint</t>
  </si>
  <si>
    <t>Grande entreprise</t>
  </si>
  <si>
    <t>Fuel domestique</t>
  </si>
  <si>
    <t>Propane</t>
  </si>
  <si>
    <t>Ballons d'ECS électrique</t>
  </si>
  <si>
    <t>Hôtel</t>
  </si>
  <si>
    <t>Tertiaire, complexe de bureaux, centre commercial, société de service, …</t>
  </si>
  <si>
    <t>Hospitalier, clinique, CHU, …</t>
  </si>
  <si>
    <t>Industrie</t>
  </si>
  <si>
    <t>Agricole, serres, …</t>
  </si>
  <si>
    <t>Logements collectifs, sociaux, universitaire, …</t>
  </si>
  <si>
    <t>Salle de sports et fêtes</t>
  </si>
  <si>
    <t>Piscine</t>
  </si>
  <si>
    <t>Formule de perte de charge</t>
  </si>
  <si>
    <t xml:space="preserve">delta T </t>
  </si>
  <si>
    <t>delta T échangeur</t>
  </si>
  <si>
    <t>nombre d'heure de fonctionnement</t>
  </si>
  <si>
    <t>rendement moteur</t>
  </si>
  <si>
    <t>rendement échangeur</t>
  </si>
  <si>
    <t>Cp eau</t>
  </si>
  <si>
    <t>Cp eau glycolée</t>
  </si>
  <si>
    <t>TOTAL investissement</t>
  </si>
  <si>
    <t>Besoins retenus tous usages</t>
  </si>
  <si>
    <t xml:space="preserve">Si bâtiment neuf : </t>
  </si>
  <si>
    <t>Si l’installation géothermie est nécessaire au respect de la RT2012 = pas éligible</t>
  </si>
  <si>
    <r>
      <t xml:space="preserve">Besoins utiles </t>
    </r>
    <r>
      <rPr>
        <b/>
        <sz val="11"/>
        <color theme="1"/>
        <rFont val="Calibri Light"/>
        <family val="2"/>
        <scheme val="major"/>
      </rPr>
      <t>chaleur</t>
    </r>
    <r>
      <rPr>
        <sz val="11"/>
        <color theme="1"/>
        <rFont val="Calibri Light"/>
        <family val="2"/>
        <scheme val="major"/>
      </rPr>
      <t xml:space="preserve"> tous usages annuels</t>
    </r>
  </si>
  <si>
    <t>kWh EF/an/m²</t>
  </si>
  <si>
    <t>Besoins thermiques du projet considérés</t>
  </si>
  <si>
    <t>dont froid</t>
  </si>
  <si>
    <t>efzg</t>
  </si>
  <si>
    <t>Type bâtiment</t>
  </si>
  <si>
    <t>CEP projet</t>
  </si>
  <si>
    <t>CEP max</t>
  </si>
  <si>
    <t>si neuf cacher cep projet et cep max et vérifier que cep projet est inférieur à cepmax-20%</t>
  </si>
  <si>
    <t>question uniquement pour les logements</t>
  </si>
  <si>
    <t>ne pas mettre le calcul si juste changement de système de chauffage</t>
  </si>
  <si>
    <t>Tertiaire (soumis au décret 2017 - 918 du 9 mai 2017)</t>
  </si>
  <si>
    <t>Vérification</t>
  </si>
  <si>
    <t>DPE ou THCE Ex</t>
  </si>
  <si>
    <t xml:space="preserve">Consommation énergétique par m² </t>
  </si>
  <si>
    <t>Energie consommée par m²</t>
  </si>
  <si>
    <t xml:space="preserve"> Méthode de calcul utilisée (justifier les valeurs ci-dessus)</t>
  </si>
  <si>
    <t>à demander que dans le cas des bâtiments</t>
  </si>
  <si>
    <t>Besoins puissance retenus tous usages</t>
  </si>
  <si>
    <t>Besoins puissance chauffage</t>
  </si>
  <si>
    <t>Besoins puissance ECS</t>
  </si>
  <si>
    <t>Besoins puissance froid</t>
  </si>
  <si>
    <t>Besoins puissance process</t>
  </si>
  <si>
    <t>Cette installation ne concerne pas le(s) remplacement(s) de PAC en raison de l'interdiction d'utilisation de certains fluides frigorigènes encadrés par le code de l'environnement (non éligible car respect de la réglementation) .</t>
  </si>
  <si>
    <t>Respect des réglementations sous-sols et milieux naturels</t>
  </si>
  <si>
    <t>Nombre d'heures équivalentes de fonctionnement à puissance nominale supérieure à 1000 h/an</t>
  </si>
  <si>
    <t>à automatiser</t>
  </si>
  <si>
    <t>PAC sur nappe</t>
  </si>
  <si>
    <t>PAC sur eaux usées</t>
  </si>
  <si>
    <t>Opérations de géocooling</t>
  </si>
  <si>
    <t>Attestation du porteur de projet (tab 2)</t>
  </si>
  <si>
    <t xml:space="preserve">Respect des normes NFX 10-960-1, 10 960-2, 10 960-3, 10 960-4, NFX 10-970 relatives à la mise en place des sondes géothermiques verticales.  </t>
  </si>
  <si>
    <t xml:space="preserve">Pour les opérations dont la longueur cumulée des sondes est supérieure à 1 000 mètres : réalisation obligatoire d’une sonde géothermique verticale test, d’un test de mesure in situ des propriétés thermiques d’un terrain (TRT) et d’une modélisation dynamique (sous-sol et surface) afin d’optimiser le dimensionnement des installations sous-sol. </t>
  </si>
  <si>
    <t>si on a déjà un BET hydrogéologue et un foreur qualiifé : OK pour garantir ces points</t>
  </si>
  <si>
    <t>La présence d’un BET hydrogéologue et d’un foreur qualifié doit suffire à garantir ces points. L’animateur Fonds chaleur n’est pas en capacité de les vérifier précisément (règlementation sous-sol, milieux naturels,Normes)</t>
  </si>
  <si>
    <t>On part du principe que tout a été vérifié par RGE, demander l’engagement du bénéficiaire.</t>
  </si>
  <si>
    <t xml:space="preserve">Respect des normes de forage d’eau (NFX 10-999). </t>
  </si>
  <si>
    <t xml:space="preserve">Evaluation du potentiel de la nappe  et étude d’impact thermique sur la ressource EnR. Les deux forages sur nappe peuvent être réalisées avant le dépôt du dossier. </t>
  </si>
  <si>
    <t>Réinjection du fluide géothermal extrait dans l'aquifère d'origine.</t>
  </si>
  <si>
    <t>Evaluation du potentiel énergétique des eaux usées (en réseaux ou en STEP).</t>
  </si>
  <si>
    <t>Réglementations</t>
  </si>
  <si>
    <t>idem dans l'attestation?</t>
  </si>
  <si>
    <t>Exploitation, entretien, maintenance</t>
  </si>
  <si>
    <t>Contrat(s) d’entretien couvrants l’intégralité des installations de forage et de génie climatique ( et si nécessaire, les équipements de récupération d’énergie sur eaux usées), dès la mise en service?</t>
  </si>
  <si>
    <t>Suivi, instrumentation</t>
  </si>
  <si>
    <t xml:space="preserve">Les projets doivent obligatoirement faire l’objet d’une instrumentation mise en place par le maître d’ouvrage pour le suivi de fonctionnement de ses installations. Dans tous les cas, il sera mis en place un monitoring adapté au fonctionnement de l’installation avec obligatoirement : </t>
  </si>
  <si>
    <t>à automatiser : en vert si on a déjà un BE hydrogéologue</t>
  </si>
  <si>
    <r>
      <rPr>
        <b/>
        <sz val="11"/>
        <color theme="1"/>
        <rFont val="Calibri Light"/>
        <family val="2"/>
        <scheme val="major"/>
      </rPr>
      <t>COP global minimum de 3</t>
    </r>
    <r>
      <rPr>
        <sz val="11"/>
        <color theme="1"/>
        <rFont val="Calibri Light"/>
        <family val="2"/>
        <scheme val="major"/>
      </rPr>
      <t xml:space="preserve"> dans les conditions d’application du projet : le COP global inclut la consommation électrique du compresseur de la PAC et des auxiliaires de l’installation telles que les pompes de circulation côté circuit primaire. Afin d’optimiser le rendement énergétique de l’installation, il est recommandé d’étudier l’asservissement des auxiliaires à la PAC et de paramétrer la PAC pour adapter sa température de production en fonction des besoins des émetteurs et de la température extérieure.  </t>
    </r>
  </si>
  <si>
    <r>
      <rPr>
        <b/>
        <sz val="11"/>
        <color theme="1"/>
        <rFont val="Calibri Light"/>
        <family val="2"/>
        <scheme val="major"/>
      </rPr>
      <t>COP machine égal ou supérieur à 4</t>
    </r>
    <r>
      <rPr>
        <sz val="11"/>
        <color theme="1"/>
        <rFont val="Calibri Light"/>
        <family val="2"/>
        <scheme val="major"/>
      </rPr>
      <t xml:space="preserve"> (mesuré pour les conditions de température prévues, selon la norme européenne EN 14511-2, en régimes de température 0/-3°C et 30/35°C).</t>
    </r>
  </si>
  <si>
    <r>
      <rPr>
        <b/>
        <sz val="11"/>
        <color theme="1"/>
        <rFont val="Calibri Light"/>
        <family val="2"/>
        <scheme val="major"/>
      </rPr>
      <t>COP machine égal ou supérieur à 4.5</t>
    </r>
    <r>
      <rPr>
        <sz val="11"/>
        <color theme="1"/>
        <rFont val="Calibri Light"/>
        <family val="2"/>
        <scheme val="major"/>
      </rPr>
      <t xml:space="preserve"> (mesuré pour les conditions de température prévues selon la norme européenne EN 14511-2 en régimes de température 10/7°C et 30/35°C).</t>
    </r>
  </si>
  <si>
    <r>
      <rPr>
        <b/>
        <sz val="11"/>
        <color theme="1"/>
        <rFont val="Calibri Light"/>
        <family val="2"/>
        <scheme val="major"/>
      </rPr>
      <t>COP global minimum de 3</t>
    </r>
    <r>
      <rPr>
        <sz val="11"/>
        <color theme="1"/>
        <rFont val="Calibri Light"/>
        <family val="2"/>
        <scheme val="major"/>
      </rPr>
      <t xml:space="preserve"> dans les conditions d’application du projet : le COP global inclut la consommation électrique du compresseur de la PAC et des auxiliaires de l’installation telles que les pompes de circulation et pompes immergées de forage côté circuit primaire. Afin d’optimiser le rendement énergétique de l’installation, il est recommandé d’étudier l’asservissement des auxiliaires à la PAC, la mise en place de pompe de forage avec variateur de vitesse et de paramétrer la PAC pour adapter sa température de production en fonction des besoins des émetteurs et de la température extérieure. </t>
    </r>
  </si>
  <si>
    <r>
      <rPr>
        <b/>
        <sz val="11"/>
        <color theme="1"/>
        <rFont val="Calibri Light"/>
        <family val="2"/>
        <scheme val="major"/>
      </rPr>
      <t xml:space="preserve">COP machine égal ou supérieur à 4.0 </t>
    </r>
    <r>
      <rPr>
        <sz val="11"/>
        <color theme="1"/>
        <rFont val="Calibri Light"/>
        <family val="2"/>
        <scheme val="major"/>
      </rPr>
      <t>(mesuré pour les conditions de température prévues selon la norme européenne EN 14511-2 en régimes de température 10/7°C et 30/35°C).</t>
    </r>
  </si>
  <si>
    <t>Bâtiments géocooling</t>
  </si>
  <si>
    <t>Bâtiments avec locaux de type CE2</t>
  </si>
  <si>
    <t>Les opérations de géocooling éligibles concernent les bâtiments « reconnus » ou des usages process</t>
  </si>
  <si>
    <t>Locaux avec froid spécifique hors champs RT 2012 (type musées, piscines, process industriels,etc.)</t>
  </si>
  <si>
    <t>vert pour les deux premiers choix, rouge pour le reste</t>
  </si>
  <si>
    <r>
      <rPr>
        <b/>
        <sz val="11"/>
        <color theme="1"/>
        <rFont val="Calibri Light"/>
        <family val="2"/>
        <scheme val="major"/>
      </rPr>
      <t xml:space="preserve">Coefficient de performance annuel froid </t>
    </r>
    <r>
      <rPr>
        <sz val="11"/>
        <color theme="1"/>
        <rFont val="Calibri Light"/>
        <family val="2"/>
        <scheme val="major"/>
      </rPr>
      <t xml:space="preserve">ou (Seasonal Energy Efficiency Ratio) SEER </t>
    </r>
    <r>
      <rPr>
        <b/>
        <sz val="11"/>
        <color theme="1"/>
        <rFont val="Calibri Light"/>
        <family val="2"/>
        <scheme val="major"/>
      </rPr>
      <t>supérieur à 20</t>
    </r>
  </si>
  <si>
    <t>BET thermique/fluides</t>
  </si>
  <si>
    <t>BET hydrogéologue</t>
  </si>
  <si>
    <t>en vert si renseigné ci-dessus ET PAC sur nappe</t>
  </si>
  <si>
    <t>à développer, comme sur la feuille biomasse</t>
  </si>
  <si>
    <t>Quantité d’énergie prélevée en entrée PAC</t>
  </si>
  <si>
    <t>= ?</t>
  </si>
  <si>
    <t>Quantité d’énergie prélevée par géocooling (CEt4)</t>
  </si>
  <si>
    <t>Un dispositif de recueil des données afin de pouvoir estimer les performances énergétiques de l’installation</t>
  </si>
  <si>
    <r>
      <rPr>
        <b/>
        <sz val="11"/>
        <color theme="1"/>
        <rFont val="Calibri Light"/>
        <family val="2"/>
        <scheme val="major"/>
      </rPr>
      <t>CEt 2</t>
    </r>
    <r>
      <rPr>
        <sz val="11"/>
        <color theme="1"/>
        <rFont val="Calibri Light"/>
        <family val="2"/>
        <scheme val="major"/>
      </rPr>
      <t xml:space="preserve">: un comptage d'énergie pour mesurer la production d’EnR ou « production géothermale en entrée PAC » </t>
    </r>
  </si>
  <si>
    <r>
      <rPr>
        <b/>
        <sz val="11"/>
        <color theme="1"/>
        <rFont val="Calibri Light"/>
        <family val="2"/>
        <scheme val="major"/>
      </rPr>
      <t>CEel 1</t>
    </r>
    <r>
      <rPr>
        <sz val="11"/>
        <color theme="1"/>
        <rFont val="Calibri Light"/>
        <family val="2"/>
        <scheme val="major"/>
      </rPr>
      <t xml:space="preserve">: un comptage d’énergie pour mesurer les consommations de la PAC </t>
    </r>
  </si>
  <si>
    <r>
      <rPr>
        <b/>
        <sz val="11"/>
        <color theme="1"/>
        <rFont val="Calibri Light"/>
        <family val="2"/>
        <scheme val="major"/>
      </rPr>
      <t>CEt 1</t>
    </r>
    <r>
      <rPr>
        <sz val="11"/>
        <color theme="1"/>
        <rFont val="Calibri Light"/>
        <family val="2"/>
        <scheme val="major"/>
      </rPr>
      <t xml:space="preserve">: un comptage d’énergie pour mesurer la production utile en sortie PAC </t>
    </r>
  </si>
  <si>
    <r>
      <rPr>
        <b/>
        <sz val="11"/>
        <color theme="1"/>
        <rFont val="Calibri Light"/>
        <family val="2"/>
        <scheme val="major"/>
      </rPr>
      <t>CEel 4</t>
    </r>
    <r>
      <rPr>
        <sz val="11"/>
        <color theme="1"/>
        <rFont val="Calibri Light"/>
        <family val="2"/>
        <scheme val="major"/>
      </rPr>
      <t xml:space="preserve">: un comptage d’énergie pour mesurer la consommation des auxiliaires sur la ressource (pompes de captage, etc.) </t>
    </r>
  </si>
  <si>
    <r>
      <rPr>
        <b/>
        <sz val="11"/>
        <color theme="1"/>
        <rFont val="Calibri Light"/>
        <family val="2"/>
        <scheme val="major"/>
      </rPr>
      <t>CEel 2</t>
    </r>
    <r>
      <rPr>
        <sz val="11"/>
        <color theme="1"/>
        <rFont val="Calibri Light"/>
        <family val="2"/>
        <scheme val="major"/>
      </rPr>
      <t xml:space="preserve">: un comptage pour mesurer les consommations d'appoint éventuel </t>
    </r>
  </si>
  <si>
    <t>Qui est chargé de suivre les performances de l'installation pendant toute sa durée de vie ?</t>
  </si>
  <si>
    <t>egtze</t>
  </si>
  <si>
    <t>COP normé selon EN 14511-2 </t>
  </si>
  <si>
    <t>COP / EER à la température de fonctionnement du projet</t>
  </si>
  <si>
    <t>=MWh rafraichissement annuel produits/MWh électrique annuels consommés</t>
  </si>
  <si>
    <t>Nappe captée (type de nappe géologique: molasse…)</t>
  </si>
  <si>
    <t>Type de rejet en cas de non réinjection (rejet en rivière, lac, nappe…)</t>
  </si>
  <si>
    <r>
      <t>m/</t>
    </r>
    <r>
      <rPr>
        <sz val="9"/>
        <color rgb="FFFF0000"/>
        <rFont val="Calibri"/>
        <family val="2"/>
        <scheme val="minor"/>
      </rPr>
      <t>TN</t>
    </r>
  </si>
  <si>
    <t>3 - Description du site et des besoins thermiques actuels et futurs</t>
  </si>
  <si>
    <t>4 - Caractéristiques techniques des installations de surface</t>
  </si>
  <si>
    <t>5 - Caractéristiques techniques des installations aidées</t>
  </si>
  <si>
    <t>6 - Comptage et suivi</t>
  </si>
  <si>
    <t>11 - Plan de financement</t>
  </si>
  <si>
    <t>Coûts</t>
  </si>
  <si>
    <t>PAC sur champ de sondes</t>
  </si>
  <si>
    <t>Co app &amp; Co ref</t>
  </si>
  <si>
    <t>Aux.</t>
  </si>
  <si>
    <t xml:space="preserve"> Pr1</t>
  </si>
  <si>
    <t>Ex.</t>
  </si>
  <si>
    <r>
      <t xml:space="preserve">Il s’agit de l’énergie correspondant au résultat de calcul thermique, issu d’une simulation thermique dynamique par exemple, ou calculé par une autre méthode, tenant compte des apports. </t>
    </r>
    <r>
      <rPr>
        <b/>
        <sz val="10"/>
        <color rgb="FFFF0000"/>
        <rFont val="Calibri"/>
        <family val="2"/>
        <scheme val="minor"/>
      </rPr>
      <t>Ces besoins sont à donner dans le tableau 7</t>
    </r>
  </si>
  <si>
    <r>
      <t xml:space="preserve">Besoins utiles </t>
    </r>
    <r>
      <rPr>
        <b/>
        <sz val="12"/>
        <color theme="3"/>
        <rFont val="Calibri Light"/>
        <family val="2"/>
        <scheme val="major"/>
      </rPr>
      <t>chaleur</t>
    </r>
    <r>
      <rPr>
        <sz val="12"/>
        <color theme="3"/>
        <rFont val="Calibri Light"/>
        <family val="2"/>
        <scheme val="major"/>
      </rPr>
      <t xml:space="preserve"> tous usages annuels</t>
    </r>
  </si>
  <si>
    <t>masques les cellules blanches si non</t>
  </si>
  <si>
    <t>Changement de système de chauffage?</t>
  </si>
  <si>
    <t>doit être inférieur à 1000 MWh ENR/an</t>
  </si>
  <si>
    <t>3 - Description du site et des besoins actuels et futurs</t>
  </si>
  <si>
    <r>
      <t xml:space="preserve">• </t>
    </r>
    <r>
      <rPr>
        <b/>
        <sz val="11"/>
        <color theme="3"/>
        <rFont val="Calibri Light"/>
        <family val="2"/>
        <scheme val="major"/>
      </rPr>
      <t xml:space="preserve">La réglementation sous-sol </t>
    </r>
    <r>
      <rPr>
        <sz val="11"/>
        <color theme="3"/>
        <rFont val="Calibri Light"/>
        <family val="2"/>
        <scheme val="major"/>
      </rPr>
      <t>(les obligations réglementaires liées aux opérations de géothermie de minime importance).Le décret précise les règles relatives aux droits et obligation des exploitants notamment en cas de dommages ainsi que celles relatives à l’arrêt d’exploitation. Il prévoit notamment, que les travaux devront être réalisés par des entreprises de forage disposant des qualifications requises (« Qualiforage » convient).</t>
    </r>
  </si>
  <si>
    <t>• La réglementation des milieux naturels.</t>
  </si>
  <si>
    <r>
      <t>•</t>
    </r>
    <r>
      <rPr>
        <b/>
        <sz val="11"/>
        <color theme="3"/>
        <rFont val="Calibri Light"/>
        <family val="2"/>
        <scheme val="major"/>
      </rPr>
      <t>Exploitation, entretien et maintenance</t>
    </r>
    <r>
      <rPr>
        <sz val="11"/>
        <color theme="3"/>
        <rFont val="Calibri Light"/>
        <family val="2"/>
        <scheme val="major"/>
      </rPr>
      <t xml:space="preserve"> : le maître d'ouvrage doit assurer ou confier à un prestataire compétent le suivi des performances de l'installation pendant toute sa durée de vie. Dès la mise en service, le maître d’ouvrage doit souscrire un (ou des) contrat(s) d’entretien couvrant l’intégralité des installations de forage et de génie climatique (et selon les technologies utilisées, les équipements de récupération d’énergie sur eaux usées).</t>
    </r>
  </si>
  <si>
    <t>Bureau d'études sous-sol (hydrogéologue)</t>
  </si>
  <si>
    <t>…</t>
  </si>
  <si>
    <t>au moins un oui pour tout le monde</t>
  </si>
  <si>
    <t>Seulement si sonde ou aquifère</t>
  </si>
  <si>
    <t>vert obligé pour la pac sur nappe (aquifère sup)</t>
  </si>
  <si>
    <t xml:space="preserve">• Attestation de qualification du BE fluides - OPQIBI(valide au moment de la réalisation; les attestations provisoires ou en cours d'instruction sont acceptées, uniquement pour les BE fluides) </t>
  </si>
  <si>
    <t>tout le temps: car pac</t>
  </si>
  <si>
    <t>Energie consommée après travaux de rénovation par m²</t>
  </si>
  <si>
    <t>Energie consommée avant travaux de rénovation par m²</t>
  </si>
  <si>
    <t>Rén</t>
  </si>
  <si>
    <t>si existant, à cacher; si rénovation, on demande THCEX; si travaux on demande DPE; quand on est soumis au décret, équivalent à RT: on doit valider le calcul par THCE EX</t>
  </si>
  <si>
    <t>la classe est différente en fonction du collectif ou du tertiaire.</t>
  </si>
  <si>
    <t>occupation?</t>
  </si>
  <si>
    <t>doit être supérieur à 4,5</t>
  </si>
  <si>
    <t>SCOP</t>
  </si>
  <si>
    <t>SEER</t>
  </si>
  <si>
    <t>SCOP(COP annuel chaud) /SEER (EER annuel froid)</t>
  </si>
  <si>
    <t>Géocooling?</t>
  </si>
  <si>
    <t>critère SEER géocooling de 20</t>
  </si>
  <si>
    <t>Masse de fluide frigorigène contenue dans la PAC (kg)</t>
  </si>
  <si>
    <t>Nature de l'énergie</t>
  </si>
  <si>
    <t>Production chaud</t>
  </si>
  <si>
    <t>Production froid</t>
  </si>
  <si>
    <t>Cet 1 - sortie PAC Chauffage</t>
  </si>
  <si>
    <t>Cet 3 - sortie PAC ECS</t>
  </si>
  <si>
    <t>Cet 4 - géocooling</t>
  </si>
  <si>
    <t>Cet 2 - entrée PAC avant échangeurs</t>
  </si>
  <si>
    <t>CEel 1 - Consommation PAC</t>
  </si>
  <si>
    <t>CEe 2 - consommation Appoint</t>
  </si>
  <si>
    <t>Cee 3 - Circulateur chauffage</t>
  </si>
  <si>
    <t>Cee 4 - Circulateur circuit primaire</t>
  </si>
  <si>
    <t>Cee 5 - Circulateur ECS</t>
  </si>
  <si>
    <t>Ceel</t>
  </si>
  <si>
    <t>CEt :thermique</t>
  </si>
  <si>
    <t>Cee 6 - Circulateur géocooling</t>
  </si>
  <si>
    <t>DANS QUEL CAS ON A BESOIN D'UN DEBIMETRE? + TEMPERATURE? -&gt; DEMANDER à HAKIM</t>
  </si>
  <si>
    <t>Usage mesuré</t>
  </si>
  <si>
    <t>Présentation du porteur de projet et de ses motivations et descriptif sommaire</t>
  </si>
  <si>
    <t>en fonction du choix, pavé de descriptif (typologie)</t>
  </si>
  <si>
    <t xml:space="preserve">• Projets soumis à autorisation  : si l’installation est soumise à une autorisation, indiquer si le dossier d’autorisation a été déposé. Si c’est le cas, indiquer la date de dépôt et joindre en annexe le dossier de demande d’autorisation transmis à l’administration. (vérifier profondeur)
</t>
  </si>
  <si>
    <t>PAC eau de nappe, eau de surface (lac), eaux usées</t>
  </si>
  <si>
    <t>7 - Coûts d’investissement (en € HTR)</t>
  </si>
  <si>
    <t>8 - Récapitulatif des critères d’éligibilité</t>
  </si>
  <si>
    <t>7 - Coûts d’investissement</t>
  </si>
  <si>
    <t>9 - Plan de financement</t>
  </si>
  <si>
    <t>Acquisition de terrain</t>
  </si>
  <si>
    <t>Bâtiment chaufferie</t>
  </si>
  <si>
    <t>Equipement de production chauffage, froid et ECS (PAC)</t>
  </si>
  <si>
    <t>Equipement de production d'appoint</t>
  </si>
  <si>
    <t>Equipement de captage géotherm. (forages, pompes, échangeur...)</t>
  </si>
  <si>
    <t>Autres postes de dépenses en chaufferie</t>
  </si>
  <si>
    <t>Système de gestion et de suivi (GTB)</t>
  </si>
  <si>
    <t>Maîtrise d'œuvre (MOE) - prestation externe</t>
  </si>
  <si>
    <t>Maîtrise d'œuvre (MOE) - réalisée en interne</t>
  </si>
  <si>
    <t>Assistance à maîtrise d'ouvrage (AMO)</t>
  </si>
  <si>
    <t>1 VALEUR</t>
  </si>
  <si>
    <t>Cette valeur est obligatoire pour vérifier la valeur d'engagement d'entrée pac</t>
  </si>
  <si>
    <t>personne</t>
  </si>
  <si>
    <t>MER = eau de surface! (eau de lac)- à garder</t>
  </si>
  <si>
    <t>Si besoin insérer des lignes ci-dessus</t>
  </si>
  <si>
    <t>Mail</t>
  </si>
  <si>
    <t>Referent</t>
  </si>
  <si>
    <t>Responsable de structure</t>
  </si>
  <si>
    <t>Responsable technique</t>
  </si>
  <si>
    <t>Responsable administratif et financier</t>
  </si>
  <si>
    <t>PAC champ de sondes géothermiques verticales (ou géostructures énergétiques)</t>
  </si>
  <si>
    <t>PAC sur eaux de mer (ou eaux de lac, eaux de surface)</t>
  </si>
  <si>
    <t>Eau Chaude Sanitaire (ECS)</t>
  </si>
  <si>
    <t>Froid actif (climatisation)</t>
  </si>
  <si>
    <t>Géocooling (rafraîchissement passif)</t>
  </si>
  <si>
    <t>doit avoir besoin d'un foreur donc 1 RGE</t>
  </si>
  <si>
    <t>coder en blanc en fonction des vrai faux</t>
  </si>
  <si>
    <t>Impliqué?</t>
  </si>
  <si>
    <t>BE études ressource géothermique</t>
  </si>
  <si>
    <t>Bureau d'études conception</t>
  </si>
  <si>
    <t>Bureau études réalisation</t>
  </si>
  <si>
    <t>Maître d’ouvrage</t>
  </si>
  <si>
    <t>BE enviro</t>
  </si>
  <si>
    <t>BE études surface</t>
  </si>
  <si>
    <t>BE sous sol</t>
  </si>
  <si>
    <t>Forage</t>
  </si>
  <si>
    <t>Archi</t>
  </si>
  <si>
    <t>BE fluides</t>
  </si>
  <si>
    <t>Exploitant</t>
  </si>
  <si>
    <t>A demander hydrogéologie</t>
  </si>
  <si>
    <t>non concerné</t>
  </si>
  <si>
    <t>Oui/non concerne</t>
  </si>
  <si>
    <t xml:space="preserve">Merci de joindre les études qui doivent contenir: </t>
  </si>
  <si>
    <t>Voir schéma Fonds Chaleur Géothermie</t>
  </si>
  <si>
    <t>PAC double service</t>
  </si>
  <si>
    <t>autre</t>
  </si>
  <si>
    <t>Si bâtiment existant</t>
  </si>
  <si>
    <t>Rénovation soumise à la RT Globale</t>
  </si>
  <si>
    <t>Rénovation NON soumise à la RT Globale</t>
  </si>
  <si>
    <t>Methode de calcul</t>
  </si>
  <si>
    <t>Classe énergétique</t>
  </si>
  <si>
    <t>Tous usages</t>
  </si>
  <si>
    <t>Le bénéficiaire atteste avoir fait les démarches pour obtenir toutes les autorisations administratives nécessaires relatives à la conformité des installations?</t>
  </si>
  <si>
    <t xml:space="preserve"> </t>
  </si>
  <si>
    <t>-Glossaire</t>
  </si>
  <si>
    <r>
      <t xml:space="preserve">Légende
</t>
    </r>
    <r>
      <rPr>
        <i/>
        <sz val="11"/>
        <color theme="9"/>
        <rFont val="Calibri"/>
        <family val="2"/>
        <scheme val="minor"/>
      </rPr>
      <t>Valable dans toutes les feuilles</t>
    </r>
  </si>
  <si>
    <t>Type bat</t>
  </si>
  <si>
    <t>Logement</t>
  </si>
  <si>
    <t>Centres commerciaux</t>
  </si>
  <si>
    <t>≤ 50</t>
  </si>
  <si>
    <t>51 à 90</t>
  </si>
  <si>
    <t>91 à 150</t>
  </si>
  <si>
    <t>151 à 230</t>
  </si>
  <si>
    <t>231 à 330</t>
  </si>
  <si>
    <t>331 à 450</t>
  </si>
  <si>
    <t>450 &lt;</t>
  </si>
  <si>
    <t>H</t>
  </si>
  <si>
    <t>I</t>
  </si>
  <si>
    <t>750 &lt;</t>
  </si>
  <si>
    <t>≤ 30</t>
  </si>
  <si>
    <t>51 à 110</t>
  </si>
  <si>
    <t>31 à 90</t>
  </si>
  <si>
    <t>111 à 210</t>
  </si>
  <si>
    <t>91 à 170</t>
  </si>
  <si>
    <t>211 à 350</t>
  </si>
  <si>
    <t>171 à 270</t>
  </si>
  <si>
    <t>354 à 540</t>
  </si>
  <si>
    <t>271 à 380</t>
  </si>
  <si>
    <t>541 à 750</t>
  </si>
  <si>
    <t>381 à 510</t>
  </si>
  <si>
    <t>Bâtiments à usage principal de bureaux, administration et d’enseignement  (6.3.A)</t>
  </si>
  <si>
    <t>≤ 80</t>
  </si>
  <si>
    <t>81 à 120</t>
  </si>
  <si>
    <t>121 à 180</t>
  </si>
  <si>
    <t xml:space="preserve">181 à 230 </t>
  </si>
  <si>
    <t>&gt;450</t>
  </si>
  <si>
    <t>Autres cas de figures (6,3,c)</t>
  </si>
  <si>
    <t>&gt;510</t>
  </si>
  <si>
    <t>Tous les usages</t>
  </si>
  <si>
    <t>Usages</t>
  </si>
  <si>
    <t>Seuil énergétique (kWhEP/m².an)</t>
  </si>
  <si>
    <t>Critères d'éligibilité pour les bâtiments</t>
  </si>
  <si>
    <t>SI NEUF</t>
  </si>
  <si>
    <t>SI Rénovation</t>
  </si>
  <si>
    <t>Vérifier que CEP projet &lt; CEPmax-20%, ou que le bâtiment respecte la RT2012 sans ENR</t>
  </si>
  <si>
    <t>On demande la classe énergétique ;</t>
  </si>
  <si>
    <t>Justification de la classe énergétique</t>
  </si>
  <si>
    <r>
      <t>ü</t>
    </r>
    <r>
      <rPr>
        <sz val="7"/>
        <color theme="1"/>
        <rFont val="Times New Roman"/>
        <family val="1"/>
      </rPr>
      <t xml:space="preserve">  </t>
    </r>
    <r>
      <rPr>
        <sz val="11"/>
        <color theme="1"/>
        <rFont val="Calibri"/>
        <family val="2"/>
        <scheme val="minor"/>
      </rPr>
      <t>SI rénovation soumise à la RT Globale -&gt; la justification doit être Th CE Ex</t>
    </r>
  </si>
  <si>
    <r>
      <t>ü</t>
    </r>
    <r>
      <rPr>
        <sz val="7"/>
        <color theme="1"/>
        <rFont val="Times New Roman"/>
        <family val="1"/>
      </rPr>
      <t xml:space="preserve">  </t>
    </r>
    <r>
      <rPr>
        <sz val="11"/>
        <color theme="1"/>
        <rFont val="Calibri"/>
        <family val="2"/>
        <scheme val="minor"/>
      </rPr>
      <t>Sinon, on demande le DPE comme justification de la classe énergétique (changement de système de chauffage sans travaux et avec travaux)</t>
    </r>
  </si>
  <si>
    <r>
      <t>ü</t>
    </r>
    <r>
      <rPr>
        <sz val="7"/>
        <rFont val="Times New Roman"/>
        <family val="1"/>
      </rPr>
      <t xml:space="preserve">  </t>
    </r>
    <r>
      <rPr>
        <sz val="11"/>
        <rFont val="Calibri"/>
        <family val="2"/>
        <scheme val="minor"/>
      </rPr>
      <t xml:space="preserve">SI logement collectif &lt;= C </t>
    </r>
    <r>
      <rPr>
        <i/>
        <sz val="11"/>
        <color rgb="FFC00000"/>
        <rFont val="Calibri"/>
        <family val="2"/>
        <scheme val="minor"/>
      </rPr>
      <t>(&lt;= 150 kWhep/m²/an )</t>
    </r>
  </si>
  <si>
    <r>
      <t>ü</t>
    </r>
    <r>
      <rPr>
        <sz val="7"/>
        <rFont val="Times New Roman"/>
        <family val="1"/>
      </rPr>
      <t xml:space="preserve">  </t>
    </r>
    <r>
      <rPr>
        <sz val="11"/>
        <rFont val="Calibri"/>
        <family val="2"/>
        <scheme val="minor"/>
      </rPr>
      <t xml:space="preserve">Si tertiaire soumis au décret &lt;=C </t>
    </r>
    <r>
      <rPr>
        <i/>
        <sz val="11"/>
        <rFont val="Calibri"/>
        <family val="2"/>
        <scheme val="minor"/>
      </rPr>
      <t>(</t>
    </r>
    <r>
      <rPr>
        <i/>
        <sz val="11"/>
        <color rgb="FFC00000"/>
        <rFont val="Calibri"/>
        <family val="2"/>
        <scheme val="minor"/>
      </rPr>
      <t>correspondance en kWhep/m²/an : voir tableau ci-contre fonction usage)</t>
    </r>
  </si>
  <si>
    <r>
      <t>ü</t>
    </r>
    <r>
      <rPr>
        <sz val="7"/>
        <rFont val="Times New Roman"/>
        <family val="1"/>
      </rPr>
      <t xml:space="preserve">  </t>
    </r>
    <r>
      <rPr>
        <sz val="11"/>
        <rFont val="Calibri"/>
        <family val="2"/>
        <scheme val="minor"/>
      </rPr>
      <t>Si tertiaire non soumis au décret &lt;=D</t>
    </r>
    <r>
      <rPr>
        <sz val="11"/>
        <color rgb="FFC00000"/>
        <rFont val="Calibri"/>
        <family val="2"/>
        <scheme val="minor"/>
      </rPr>
      <t xml:space="preserve"> </t>
    </r>
    <r>
      <rPr>
        <i/>
        <sz val="11"/>
        <color rgb="FFC00000"/>
        <rFont val="Calibri"/>
        <family val="2"/>
        <scheme val="minor"/>
      </rPr>
      <t>(correspondance en kWhep/m²/an : voir tableau ci-contre fonction usages)</t>
    </r>
  </si>
  <si>
    <t>-Aide</t>
  </si>
  <si>
    <t>Commentaire : aide/ infos</t>
  </si>
  <si>
    <t>Voir tableau 2</t>
  </si>
  <si>
    <t>Voir tableau 3</t>
  </si>
  <si>
    <t>Voir tableau 5</t>
  </si>
  <si>
    <t>Voir tableau 4</t>
  </si>
  <si>
    <t>Ceel 1 - Consommation PAC</t>
  </si>
  <si>
    <t>Ceel 3 - Circulateur chauffage</t>
  </si>
  <si>
    <t>Ceel 5 - Circulateur ECS</t>
  </si>
  <si>
    <r>
      <rPr>
        <b/>
        <sz val="11"/>
        <color theme="1"/>
        <rFont val="Calibri Light"/>
        <family val="2"/>
        <scheme val="major"/>
      </rPr>
      <t>Cet 2</t>
    </r>
    <r>
      <rPr>
        <sz val="11"/>
        <color theme="1"/>
        <rFont val="Calibri Light"/>
        <family val="2"/>
        <scheme val="major"/>
      </rPr>
      <t xml:space="preserve">: un comptage d'énergie pour mesurer la production d’EnR ou « production géothermale en entrée PAC » </t>
    </r>
  </si>
  <si>
    <t>Usages tertiaire</t>
  </si>
  <si>
    <r>
      <rPr>
        <b/>
        <sz val="12"/>
        <color theme="1"/>
        <rFont val="Calibri Light"/>
        <family val="2"/>
        <scheme val="major"/>
      </rPr>
      <t>Ceel 1</t>
    </r>
    <r>
      <rPr>
        <sz val="12"/>
        <color theme="1"/>
        <rFont val="Calibri Light"/>
        <family val="2"/>
        <scheme val="major"/>
      </rPr>
      <t xml:space="preserve">: un comptage d’énergie pour mesurer les consommations de la PAC </t>
    </r>
  </si>
  <si>
    <r>
      <rPr>
        <b/>
        <sz val="12"/>
        <color theme="1"/>
        <rFont val="Calibri Light"/>
        <family val="2"/>
        <scheme val="major"/>
      </rPr>
      <t>Cet 1</t>
    </r>
    <r>
      <rPr>
        <sz val="12"/>
        <color theme="1"/>
        <rFont val="Calibri Light"/>
        <family val="2"/>
        <scheme val="major"/>
      </rPr>
      <t xml:space="preserve">: un comptage d’énergie pour mesurer la production utile en sortie PAC </t>
    </r>
  </si>
  <si>
    <t>En fonction des choix, certaines plages de cellules deviennent blanches, il suffit de les masquer</t>
  </si>
  <si>
    <r>
      <rPr>
        <i/>
        <u/>
        <sz val="9"/>
        <rFont val="Calibri"/>
        <family val="2"/>
        <scheme val="minor"/>
      </rPr>
      <t xml:space="preserve">Simulation FC (masquée) </t>
    </r>
    <r>
      <rPr>
        <i/>
        <sz val="9"/>
        <rFont val="Calibri"/>
        <family val="2"/>
        <scheme val="minor"/>
      </rPr>
      <t>: permet de calculer automatiquement la subvention de l'installation</t>
    </r>
  </si>
  <si>
    <t>Consommation électrique de la PAC (MWh)</t>
  </si>
  <si>
    <t>Etude de faisabilité ou de conception réalisée par un BE qualifié</t>
  </si>
  <si>
    <t xml:space="preserve">Commentaire : </t>
  </si>
  <si>
    <t>Extension</t>
  </si>
  <si>
    <t xml:space="preserve">Préciser : </t>
  </si>
  <si>
    <t>AMO</t>
  </si>
  <si>
    <t>SCOP(COP annuel chaud) / SEER (EER annuel froid)</t>
  </si>
  <si>
    <t>Pour information</t>
  </si>
  <si>
    <r>
      <rPr>
        <b/>
        <sz val="11"/>
        <color theme="3"/>
        <rFont val="Calibri"/>
        <family val="2"/>
        <scheme val="minor"/>
      </rPr>
      <t xml:space="preserve">o PAC sur nappe </t>
    </r>
    <r>
      <rPr>
        <sz val="11"/>
        <color theme="3"/>
        <rFont val="Calibri"/>
        <family val="2"/>
        <scheme val="minor"/>
      </rPr>
      <t xml:space="preserve">
- L'étude du sous-sol (réalisée par un hydrogéologue) et le dimensionnement des équipements sous-sol et surface, selon le cahier des charges ADEME, réalisée par un prestataire d'étude qualifié RGE 1007 et/ou 2013.
- Le cas échéant, selon l'avis de l'hydrogéologue, les essais de reconnaissance seront réalisés par un foreur qualifié RGE et un prestataire d'étude qualifié RGE 1007 et/ou 2013. Les résultats des essais seront transmis soit au moment du dépôt de dossier, soit intégrés au rapport intermédiaire si ils sont réalisés après l'instruction du dossier. 
</t>
    </r>
  </si>
  <si>
    <r>
      <rPr>
        <b/>
        <sz val="11"/>
        <color theme="1"/>
        <rFont val="Calibri"/>
        <family val="2"/>
        <scheme val="minor"/>
      </rPr>
      <t xml:space="preserve">o PAC sur eaux usées : </t>
    </r>
    <r>
      <rPr>
        <sz val="11"/>
        <color theme="1"/>
        <rFont val="Calibri"/>
        <family val="2"/>
        <scheme val="minor"/>
      </rPr>
      <t xml:space="preserve">
- L'étude de faisabilité et le dimensionnement des équipements, selon le cahier des charges ADEME, réalisé par un perstataire de l'ingénierie</t>
    </r>
  </si>
  <si>
    <r>
      <rPr>
        <b/>
        <sz val="11"/>
        <color theme="1"/>
        <rFont val="Calibri"/>
        <family val="2"/>
        <scheme val="minor"/>
      </rPr>
      <t xml:space="preserve">o PAC sur eaux de surface : </t>
    </r>
    <r>
      <rPr>
        <sz val="11"/>
        <color theme="1"/>
        <rFont val="Calibri"/>
        <family val="2"/>
        <scheme val="minor"/>
      </rPr>
      <t xml:space="preserve">
- L'étude de faisabilité et le dimensionnement des équipements, selon le cahier des charges ADEME, réalisé par un perstataire de l'ingénierie</t>
    </r>
  </si>
  <si>
    <t xml:space="preserve">3 - Description du site et des besoins thermiques actuels et futurs </t>
  </si>
  <si>
    <t>Température prélèvement/rejet</t>
  </si>
  <si>
    <t>PAC champ de sondes géothermiques verticales ou déviées (ou géostructures énergétiques ou échangeurs compacts géothermiques)</t>
  </si>
  <si>
    <t>PAC champ de sondes géothermiques verticales ou déviées (ou géostructures énergétiques ou échangeurs compacts géothermales)</t>
  </si>
  <si>
    <r>
      <rPr>
        <b/>
        <sz val="11"/>
        <color theme="3"/>
        <rFont val="Calibri"/>
        <family val="2"/>
        <scheme val="minor"/>
      </rPr>
      <t xml:space="preserve">o PAC sur sondes : </t>
    </r>
    <r>
      <rPr>
        <sz val="11"/>
        <color theme="3"/>
        <rFont val="Calibri"/>
        <family val="2"/>
        <scheme val="minor"/>
      </rPr>
      <t xml:space="preserve">
- L'étude du sous-sol et le dimensionnement des équipements sous-sol et surface, selon le cahier des charges ADEME, réalisée par un prestataire d'étude qualifié RGE 1007 et/ou 2013.
- Le cas échéant (si L&gt;1000 m), le rapport du Test de Réponse thermique du Terrain (TRT), selon le cahier des charges ADEME, avec une géomodélisation (sous-sol et surface), réalisé par un foreur qualifié RGE et un prestataire d'étude qualifié RGE 1007 et/ou 2013. Les résultats du TRT seront transmis soit au moment du dépôt de dossier, soit intégrés au rapport intermédiaire si ils sont réalisés après l'instruction du dossier. </t>
    </r>
  </si>
  <si>
    <t>Dimension des échangeurs compacts géothermiques (corbeille ou mur : hauteur et diamètre/longueur)</t>
  </si>
  <si>
    <t xml:space="preserve">Ceel 2 - Circulateur circuit primaire (sous-sol) </t>
  </si>
  <si>
    <t>Ceel 3 - Circulateur géocooling</t>
  </si>
  <si>
    <t xml:space="preserve">Ceel 4 - consommation Appoint </t>
  </si>
  <si>
    <t>Cet 3 - géocooling</t>
  </si>
  <si>
    <r>
      <rPr>
        <b/>
        <sz val="12"/>
        <color theme="1"/>
        <rFont val="Calibri Light"/>
        <family val="2"/>
        <scheme val="major"/>
      </rPr>
      <t>Ceel 2</t>
    </r>
    <r>
      <rPr>
        <sz val="12"/>
        <color theme="1"/>
        <rFont val="Calibri Light"/>
        <family val="2"/>
        <scheme val="major"/>
      </rPr>
      <t xml:space="preserve">: un comptage d’énergie pour mesurer la consommation des auxiliaires sur la ressource (pompes de captage, etc.) </t>
    </r>
  </si>
  <si>
    <t xml:space="preserve">Cet 4 - consommation Appoint </t>
  </si>
  <si>
    <r>
      <rPr>
        <b/>
        <sz val="12"/>
        <color theme="1"/>
        <rFont val="Calibri Light"/>
        <family val="2"/>
        <scheme val="major"/>
      </rPr>
      <t xml:space="preserve">Ceel 4 ou Cet 4 </t>
    </r>
    <r>
      <rPr>
        <sz val="12"/>
        <color theme="1"/>
        <rFont val="Calibri Light"/>
        <family val="2"/>
        <scheme val="major"/>
      </rPr>
      <t xml:space="preserve">: un comptage pour mesurer les consommations d'appoint éventuel </t>
    </r>
  </si>
  <si>
    <r>
      <rPr>
        <b/>
        <sz val="12"/>
        <color theme="1"/>
        <rFont val="Calibri Light"/>
        <family val="2"/>
        <scheme val="major"/>
      </rPr>
      <t xml:space="preserve">Cet 3 et Ceel 3 </t>
    </r>
    <r>
      <rPr>
        <sz val="12"/>
        <color theme="1"/>
        <rFont val="Calibri Light"/>
        <family val="2"/>
        <scheme val="major"/>
      </rPr>
      <t>: un comptage pour mesurer les consommations du Geocooling</t>
    </r>
  </si>
  <si>
    <t>Aide ADEME</t>
  </si>
  <si>
    <t>PAC eau de nappe, mer, eaux usées</t>
  </si>
  <si>
    <t>Simulation Aide Fonds Chaleur - Géothermie -</t>
  </si>
  <si>
    <t>Prestataire</t>
  </si>
  <si>
    <t>comptage</t>
  </si>
  <si>
    <t>12 mois</t>
  </si>
  <si>
    <t>9,5 °C à 11,5°C</t>
  </si>
  <si>
    <t>Aménagement des sous-stations</t>
  </si>
  <si>
    <t>Production sortie PAC</t>
  </si>
  <si>
    <t>Production (MWh)</t>
  </si>
  <si>
    <t>dont chauffage sortie PAC</t>
  </si>
  <si>
    <t xml:space="preserve">dont ECS sortie PAC </t>
  </si>
  <si>
    <t xml:space="preserve">dont chauffage Appoint </t>
  </si>
  <si>
    <t xml:space="preserve">dont ECS Appoint </t>
  </si>
  <si>
    <t>Nappe d'accompagnement à la confluence du Drac et de l'Isère</t>
  </si>
  <si>
    <t>Rejet vers le réseau communautaire mis en place à cet effet</t>
  </si>
  <si>
    <t>12 / 8</t>
  </si>
  <si>
    <t>12 / 10</t>
  </si>
  <si>
    <t>à préciser avec bet fluides</t>
  </si>
  <si>
    <t>exploitant</t>
  </si>
  <si>
    <r>
      <t>dont froid/</t>
    </r>
    <r>
      <rPr>
        <i/>
        <sz val="14"/>
        <color rgb="FFC00000"/>
        <rFont val="Calibri Light"/>
        <family val="2"/>
        <scheme val="major"/>
      </rPr>
      <t>geocooling</t>
    </r>
  </si>
  <si>
    <t>Geocooling</t>
  </si>
  <si>
    <t>si le bâtiment est neuf, est-il soumis à la RT 2012 ou RE 2020?</t>
  </si>
  <si>
    <t>RE 2020 - CEP,nr</t>
  </si>
  <si>
    <t>Froid : Froid actif et/ou Géocooling?</t>
  </si>
  <si>
    <t>Cet 1 - sortie PAC Chauffage et/ou ECS et/ou Froid actif</t>
  </si>
  <si>
    <t>Quantité d’énergie EnR comptabilisée pour le froid actif (MWh/an)</t>
  </si>
  <si>
    <t>Enr Geocooling</t>
  </si>
  <si>
    <t>EnR Froid actif</t>
  </si>
  <si>
    <t>Enr Production chaleur</t>
  </si>
  <si>
    <t>Nom Porteur Projet / Nom Opération</t>
  </si>
  <si>
    <t>Lieu (Dpt)</t>
  </si>
  <si>
    <t>Total Aides</t>
  </si>
  <si>
    <t>Quantité de froid produit par géocooling (CEt3) (MWh/an)</t>
  </si>
  <si>
    <t>Quantité d’énergie prélevée en entrée PAC (MWh/an) pour la production de chaleur</t>
  </si>
  <si>
    <t>NB :  le calcul des aides est basé sur les "ENR géothermique" considerées =</t>
  </si>
  <si>
    <t>ENR géothermique pour la production de chaud (avec PAC) = Energie sortie PAC - Conso PAC</t>
  </si>
  <si>
    <t>ENR géothermique en geocooling =  Production Geocooling - Conso Pompes de puits</t>
  </si>
  <si>
    <t>ENR géothermique pour la production de froid (avec PAC) =(Production utile de froid issu de la PAC)*(SEER-3,2)/10,6</t>
  </si>
  <si>
    <t xml:space="preserve">EER machine égal ou supérieur à 3,6 pour les PAC « électriques » (mesuré dans les conditions d’essais de la norme européenne EN 14511-2 en régimes de températures 12/7°C à l’évaporateur et 30/35°C au condenseur) </t>
  </si>
  <si>
    <t>SEER global annuel estimé minimum de 3,3 dans les conditions d’application du projet</t>
  </si>
  <si>
    <t>Consommation des auxiliaires (pompes de puits ou sondes) (MWh)</t>
  </si>
  <si>
    <t>Projets éligibles aux CCR</t>
  </si>
  <si>
    <t>Jusqu'à 2000 MWh de production EnR&amp;R/an :</t>
  </si>
  <si>
    <t>PAC  sur champ de sondes</t>
  </si>
  <si>
    <t>PAC sur eau de nappe</t>
  </si>
  <si>
    <t>Projets non éligibles aux CCR</t>
  </si>
  <si>
    <t>MAJ janvier 2023</t>
  </si>
  <si>
    <t>Les projets sur structure géotechnique, de froid seul (avec ou sans réseau de froid) ou en montage en Thermo Frigo Pompe (TFP), les projets intégrant un réseau de froid, les projets de BETG (Boucle d'eau tempérée géothermale), et l'aérothermie, sont à déposer à l'aide de gré à gré sur la plateforme AGIR de l'ADEME.</t>
  </si>
  <si>
    <t xml:space="preserve">Information complémentaire utile à la compréhension du projet  : mettre à minima un schéma de principe, et si besoin un organigramme, démarches engagées par la collectivité, etc. </t>
  </si>
  <si>
    <t xml:space="preserve">Installation sur eaux usées (en réseau ou en station d'épuration) </t>
  </si>
  <si>
    <t>COP machine égal ou supérieur à 4.5 (mesuré pour les conditions de température prévues selon la norme européenne EN 14511-2 en régimes de température 10/7°C et 30/35°C). / PAC Gaz à absorption : COP machine supérieur ou égal à 1,74 en mode chauffage (mesuré pour les conditions de température d'entrée et de sortie de 10°C/35°C prévues selon la norme européenne EN 12309</t>
  </si>
  <si>
    <t>COP machine égal ou supérieur à 4.5 (mesuré pour les conditions de température prévues selon la norme européenne EN 14511-2 en régimes de température 10/7°C et 30/35°C)/ PAC Gaz à absorption : COP machine supérieur ou égal à 1,74 en mode chauffage (mesuré pour les conditions de température d'entrée et de sortie de 10°C/35°C prévues selon la norme européenne EN 12309</t>
  </si>
  <si>
    <t>COP machine égal ou supérieur à 4 (mesuré pour les conditions de température prévues, selon la norme européenne EN 14511-2, en régimes de température 0/-3°C et 30/35°C). / PAC Gaz à absorption : COP machine supérieur ou égal à 1,74 en mode chauffage (mesuré pour les conditions de température d'entrée et de sortie de 10°C/35°C prévues selon la norme européenne EN 12309</t>
  </si>
  <si>
    <t>COP normé selon EN 14511-2 (selon documention de la PAC avec certificat)</t>
  </si>
  <si>
    <t>Nombre d'heures équivalentes de fonctionnement à puissance nominale supérieure à 1000 h/an (pour information)</t>
  </si>
  <si>
    <t>BET Hydrogéologue ET thermique/fluides</t>
  </si>
  <si>
    <t>Changement de système de chauffage sans travaux d'isolation</t>
  </si>
  <si>
    <t>Changement de système de chauffage avec travaux d'isolation</t>
  </si>
  <si>
    <t>Calculs prévisionnels (DJU, STD…)</t>
  </si>
  <si>
    <t>La méthode de calcul demandée pour justifer les consommations avant/après (ci-dessous):</t>
  </si>
  <si>
    <t>Ajouter le schéma avec implantation des comptages (selon schéma Fonds Chaleur Géothermie)</t>
  </si>
  <si>
    <t>Local technique (création) et VRD (remis een état du terrain…)</t>
  </si>
  <si>
    <t>Equipement de production chauffage, froid et ECS (PAC, panoplie hydraulique, Appoint….)</t>
  </si>
  <si>
    <t>Equipement de captage géothermiques (sondes y compris tranchées et réseaux jusqu'au local, forages, tranchées, pompes et crépines, échangeur...)</t>
  </si>
  <si>
    <t>Métrologie et comptage, système de gestion et de suivi (GTB)</t>
  </si>
  <si>
    <t>Maîtrise d'œuvre (MOE : conception, réalisation) - prestation externe</t>
  </si>
  <si>
    <t>Performance énergétique des bâtiments (si soumis DEET)</t>
  </si>
  <si>
    <r>
      <t xml:space="preserve">• </t>
    </r>
    <r>
      <rPr>
        <b/>
        <sz val="11"/>
        <color theme="3"/>
        <rFont val="Calibri Light"/>
        <family val="2"/>
        <scheme val="major"/>
      </rPr>
      <t>Exploitation, entretien et maintenance</t>
    </r>
    <r>
      <rPr>
        <sz val="11"/>
        <color theme="3"/>
        <rFont val="Calibri Light"/>
        <family val="2"/>
        <scheme val="major"/>
      </rPr>
      <t xml:space="preserve"> : le maître d'ouvrage doit assurer ou confier à un prestataire compétent le suivi des performances de l'installation pendant toute sa durée de vie. Dès la mise en service, le maître d’ouvrage doit souscrire un (ou des) contrat(s) d’entretien couvrant l’intégralité des installations de forage et de génie climatique (et selon les technologies utilisées, les équipements de récupération d’énergie sur eaux usées).</t>
    </r>
  </si>
  <si>
    <r>
      <t>• Projets soumis à autorisation :</t>
    </r>
    <r>
      <rPr>
        <sz val="14"/>
        <color theme="3"/>
        <rFont val="Calibri"/>
        <family val="2"/>
        <scheme val="minor"/>
      </rPr>
      <t xml:space="preserve"> si l’installation est soumise à une autorisation, indiquer si le dossier d’autorisation a été déposé. Si c’est le cas, indiquer la date de dépôt et joindre en annexe le dossier de demande d’autorisation transmis à l’administration. </t>
    </r>
  </si>
  <si>
    <t xml:space="preserve">9 - Plan de financement </t>
  </si>
  <si>
    <r>
      <t xml:space="preserve">8 - Récapitulatif des critères d’éligibilité </t>
    </r>
    <r>
      <rPr>
        <b/>
        <sz val="14"/>
        <color theme="3"/>
        <rFont val="Marianne"/>
        <family val="3"/>
      </rPr>
      <t>(cadre à remplir et vérfier EXCLUSIVEMENT par l'Opérateur du Contrat Chaleur Renouvelable)</t>
    </r>
  </si>
  <si>
    <t>RT 2012 - CEP projet</t>
  </si>
  <si>
    <t>RT 2012 - Ecart CEP projet par rapport à CEP max (%)</t>
  </si>
  <si>
    <t>RE 2020 - Ecart CEP,nr projet par rapport à CEP,nr max (%)</t>
  </si>
  <si>
    <t>BE Fluide MOE</t>
  </si>
  <si>
    <t>BE RGE Géothermie sous-sol (Etude de faisabilité, MOE….)</t>
  </si>
  <si>
    <t>BE RGE Géothermie surface(Etude de faisabilité, MOE….)</t>
  </si>
  <si>
    <t>Réseau de chaleur</t>
  </si>
  <si>
    <t>ml</t>
  </si>
  <si>
    <t>€</t>
  </si>
  <si>
    <t>DN</t>
  </si>
  <si>
    <t>aide €/ml</t>
  </si>
  <si>
    <t>&gt; 400</t>
  </si>
  <si>
    <t>300 &lt; DN &lt; 400</t>
  </si>
  <si>
    <t>125 &lt; DN &lt; 250</t>
  </si>
  <si>
    <t>65 &lt; DN &lt; 125</t>
  </si>
  <si>
    <t>&lt; 65</t>
  </si>
  <si>
    <t>Moyenne €/ml</t>
  </si>
  <si>
    <t>Total  aide production + réseau</t>
  </si>
  <si>
    <t>projet</t>
  </si>
  <si>
    <t>situation actuelle</t>
  </si>
  <si>
    <t>situation future</t>
  </si>
  <si>
    <t>Type de fluide caloporteur</t>
  </si>
  <si>
    <t>Création ou extension</t>
  </si>
  <si>
    <t>Pas de réseau de chaleur</t>
  </si>
  <si>
    <t>Longueur de réseau de chaleur</t>
  </si>
  <si>
    <t>Chaleur injectée sur le réseau</t>
  </si>
  <si>
    <t>Chaleur EnR&amp;R injectée sur le réseau</t>
  </si>
  <si>
    <t>Taux d'En&amp;R</t>
  </si>
  <si>
    <t>Chaleur vendue en sous-station</t>
  </si>
  <si>
    <t>Chaleur En&amp;R vendue en sous-station</t>
  </si>
  <si>
    <t>Nombre de sous-station</t>
  </si>
  <si>
    <t>Puissance totale souscrite</t>
  </si>
  <si>
    <t>Densité réseau de chaleur</t>
  </si>
  <si>
    <t>Rendement réseau de chaleur</t>
  </si>
  <si>
    <t>Tableau des diamètres nominaux</t>
  </si>
  <si>
    <t>DN &lt; 65</t>
  </si>
  <si>
    <t>80 &lt; DN &lt; 125</t>
  </si>
  <si>
    <t>150 &lt; DN &lt; 250</t>
  </si>
  <si>
    <t>DN &gt; 450</t>
  </si>
  <si>
    <t>Total</t>
  </si>
  <si>
    <t>inf/supérieur ou égal</t>
  </si>
  <si>
    <t>ml de tranchée (aller)</t>
  </si>
  <si>
    <t xml:space="preserve">Commentaires : </t>
  </si>
  <si>
    <t>Froid actif et/ou Géocooling</t>
  </si>
  <si>
    <t>eau surchauffée</t>
  </si>
  <si>
    <t>vapeur</t>
  </si>
  <si>
    <t>Création</t>
  </si>
  <si>
    <t xml:space="preserve">Besoins chaleur total (périmètre "sortie production") : </t>
  </si>
  <si>
    <t>Production sortie PAC TOTALE</t>
  </si>
  <si>
    <t>9 - Réseau de chaleur (primaire, si concerné)</t>
  </si>
  <si>
    <t>10 - Plan de financement</t>
  </si>
  <si>
    <t>Géothermie (Production)</t>
  </si>
  <si>
    <t>Existence d'un lieu de concertation continue avec les abonnés et les usagers du réseau ?</t>
  </si>
  <si>
    <t>Impact positif de la subvention pour l'abonné</t>
  </si>
  <si>
    <t>Etude de faisabilité ou schéma directeur conforme aux guides ADEME</t>
  </si>
  <si>
    <t>Densité supérieure à 1 MWh/ml</t>
  </si>
  <si>
    <t>Taux EnR&amp;R supérieure à 65%</t>
  </si>
  <si>
    <t>Récapitulatif des critères d'éligibilité "Réseau de chaleur"</t>
  </si>
  <si>
    <t>Modifié /saisir</t>
  </si>
  <si>
    <t>Critères d'éligibilités :</t>
  </si>
  <si>
    <t>de subvention</t>
  </si>
  <si>
    <t>soit</t>
  </si>
  <si>
    <t>d'investissement</t>
  </si>
  <si>
    <t xml:space="preserve">pour </t>
  </si>
  <si>
    <t>d'aide ADEME</t>
  </si>
  <si>
    <t>Projet situé à</t>
  </si>
  <si>
    <t>Maître d'ouvrage :</t>
  </si>
  <si>
    <t>GEOTHERMIE TRES BASSE ENERGIE</t>
  </si>
  <si>
    <t xml:space="preserve">Dernière mise à jour 01/2023
</t>
  </si>
  <si>
    <t xml:space="preserve">Lieu  (ville) : </t>
  </si>
  <si>
    <t xml:space="preserve">PAC d'une puissance totale de </t>
  </si>
  <si>
    <t>Type Projet</t>
  </si>
  <si>
    <t>MWh EnR pour la production de chaleur</t>
  </si>
  <si>
    <t>MWh EnR pour le Géocooling</t>
  </si>
  <si>
    <t>MWh EnR pour le Froid actif</t>
  </si>
  <si>
    <t>EER</t>
  </si>
  <si>
    <t>Geocool.</t>
  </si>
  <si>
    <t xml:space="preserve">SCOP chaud </t>
  </si>
  <si>
    <t xml:space="preserve">COP Normé chaud </t>
  </si>
  <si>
    <t>NH PP</t>
  </si>
  <si>
    <r>
      <rPr>
        <sz val="36"/>
        <color theme="1"/>
        <rFont val="Marianne"/>
        <family val="3"/>
      </rPr>
      <t>.</t>
    </r>
    <r>
      <rPr>
        <sz val="10"/>
        <color theme="1"/>
        <rFont val="Marianne"/>
        <family val="3"/>
      </rPr>
      <t xml:space="preserve"> PAC sur aquifère superficiel (eau de nappe) : obligation un BE fluide ET sous-sol (hydrogéologue)</t>
    </r>
  </si>
  <si>
    <r>
      <rPr>
        <sz val="36"/>
        <color theme="1"/>
        <rFont val="Marianne"/>
        <family val="3"/>
      </rPr>
      <t>.</t>
    </r>
    <r>
      <rPr>
        <sz val="10"/>
        <color theme="1"/>
        <rFont val="Marianne"/>
        <family val="3"/>
      </rPr>
      <t xml:space="preserve"> Prise en compte du DEET (le cas échéant) </t>
    </r>
  </si>
  <si>
    <r>
      <rPr>
        <sz val="36"/>
        <color theme="1"/>
        <rFont val="Marianne"/>
        <family val="3"/>
      </rPr>
      <t>.</t>
    </r>
    <r>
      <rPr>
        <sz val="10"/>
        <color theme="1"/>
        <rFont val="Marianne"/>
        <family val="3"/>
      </rPr>
      <t xml:space="preserve"> Qualification RGE des acteurs</t>
    </r>
  </si>
  <si>
    <r>
      <rPr>
        <sz val="36"/>
        <color theme="1"/>
        <rFont val="Marianne"/>
        <family val="3"/>
      </rPr>
      <t xml:space="preserve">. </t>
    </r>
    <r>
      <rPr>
        <sz val="10"/>
        <color theme="1"/>
        <rFont val="Marianne"/>
        <family val="3"/>
      </rPr>
      <t>Performances Installation</t>
    </r>
  </si>
  <si>
    <r>
      <rPr>
        <sz val="36"/>
        <color theme="1"/>
        <rFont val="Marianne"/>
        <family val="3"/>
      </rPr>
      <t xml:space="preserve">. </t>
    </r>
    <r>
      <rPr>
        <sz val="10"/>
        <color theme="1"/>
        <rFont val="Marianne"/>
        <family val="3"/>
      </rPr>
      <t xml:space="preserve">Etude globale de conception ou de faisabilité (installations du sous-sol, installations de surface)
</t>
    </r>
    <r>
      <rPr>
        <sz val="8"/>
        <color theme="1"/>
        <rFont val="Marianne"/>
        <family val="3"/>
      </rPr>
      <t>(pour les projets de PAC sur sondes dont la production EnR est inférieure à 50 MWh, possibilité d'avoir uniquemment une note d'opportunité suivie de la note de dimensionnement de l'entreprise en charge des travaux)</t>
    </r>
  </si>
  <si>
    <r>
      <rPr>
        <sz val="36"/>
        <color theme="1"/>
        <rFont val="Marianne"/>
        <family val="3"/>
      </rPr>
      <t>.</t>
    </r>
    <r>
      <rPr>
        <sz val="10"/>
        <color theme="1"/>
        <rFont val="Marianne"/>
        <family val="3"/>
      </rPr>
      <t xml:space="preserve"> Comptages : chaleur (sous-sol, sortie PAC) et éléctricité (PAC, auxiliaires sous-sol) </t>
    </r>
  </si>
  <si>
    <r>
      <rPr>
        <sz val="36"/>
        <color theme="1"/>
        <rFont val="Marianne"/>
        <family val="3"/>
      </rPr>
      <t>.</t>
    </r>
    <r>
      <rPr>
        <sz val="10"/>
        <color theme="1"/>
        <rFont val="Marianne"/>
        <family val="3"/>
      </rPr>
      <t xml:space="preserve"> Comptage spécifique pour le geocooling</t>
    </r>
  </si>
  <si>
    <t>Réseaux</t>
  </si>
  <si>
    <r>
      <t xml:space="preserve">• Justification de la performance énergétique avant/après travaux (volet MDE) : 
- </t>
    </r>
    <r>
      <rPr>
        <sz val="14"/>
        <color theme="3"/>
        <rFont val="Calibri"/>
        <family val="2"/>
        <scheme val="minor"/>
      </rPr>
      <t xml:space="preserve">Calculs énergétiques pour caractériser l’état initial et l’état après actions de Géothermie/actions MDE (STD, méthode DJU, RT Existant, etc.)
</t>
    </r>
  </si>
  <si>
    <r>
      <t xml:space="preserve">• Pour les assujjettis au Dispositif Eco energie Tertiaire (DEET) : </t>
    </r>
    <r>
      <rPr>
        <sz val="14"/>
        <color theme="3"/>
        <rFont val="Calibri"/>
        <family val="2"/>
        <scheme val="minor"/>
      </rPr>
      <t xml:space="preserve">
- Pour les bâtiments soumis au dispositif Eco Energie Tertiaire (DEET) : 
              * calcul justifiant la prise en compte des exigences DEET (écart à la référence ou valeurs seuils)
              * dimensionnement de l'installation de production EnR&amp;R : justification de la prise en compte du dispositif Eco Energie Tertiaire dans le dimensionnement des installations pour les bâtiments existant qui y sont soumis.</t>
    </r>
  </si>
  <si>
    <r>
      <t xml:space="preserve">• Etude globale de conception ou de faisabilité de la solution géothermale
</t>
    </r>
    <r>
      <rPr>
        <sz val="14"/>
        <color theme="3"/>
        <rFont val="Calibri"/>
        <family val="2"/>
        <scheme val="minor"/>
      </rPr>
      <t>(pour les projets de PAC sur sondes dont la production EnR est inférieure à 50 MWh, possibilité d'avoir uniquemment une note d'opportunité suivie de la note de dimensionnement de l'entreprise en charge des travaux)</t>
    </r>
  </si>
  <si>
    <r>
      <rPr>
        <sz val="36"/>
        <color theme="1"/>
        <rFont val="Marianne"/>
        <family val="3"/>
      </rPr>
      <t xml:space="preserve">. </t>
    </r>
    <r>
      <rPr>
        <sz val="10"/>
        <color theme="1"/>
        <rFont val="Marianne"/>
        <family val="3"/>
      </rPr>
      <t>Etude de faisabilité du sous-sol</t>
    </r>
  </si>
  <si>
    <t>• Etude de faisabilité sous-sol (pour les opération susr nappe :  incluant l’étude des effets thermiques à long terme des puits de production et de réinjection sur la nappe (temps de percée, taux de recyclage)</t>
  </si>
  <si>
    <t>• Plan d'implantation des forages sur nappe (puits de production et de réinjection avec mention du sens d’écoulement de la nappe) ou des forages des sondes</t>
  </si>
  <si>
    <t>Tertiaire (soumis au décret tertiaire)</t>
  </si>
  <si>
    <t>Tertiaire (NON soumis au décret tertiaire)</t>
  </si>
  <si>
    <t xml:space="preserve">Taux d'économie d'énergie (usages thermiques) </t>
  </si>
  <si>
    <t>Extension (construction neuve)</t>
  </si>
  <si>
    <t xml:space="preserve">Mixte </t>
  </si>
  <si>
    <t xml:space="preserve">Méthode DJU, Simulation thermique dynamique (STD) </t>
  </si>
  <si>
    <t>Méthode RT (ThCE Ex)</t>
  </si>
  <si>
    <t>PAC réversible</t>
  </si>
  <si>
    <t>Si soumis au DEET : présence d'un plan d'actions et travaux de rénovation énergétique (minimum : respect échéance 2030)</t>
  </si>
  <si>
    <t>1 an</t>
  </si>
  <si>
    <t>Démarrage des travaux</t>
  </si>
  <si>
    <t>Mise en service</t>
  </si>
  <si>
    <t>COMMENTAIRES</t>
  </si>
  <si>
    <t xml:space="preserve">APD </t>
  </si>
  <si>
    <t>Banque Populiare AURA</t>
  </si>
  <si>
    <r>
      <t>dont froid/</t>
    </r>
    <r>
      <rPr>
        <i/>
        <sz val="14"/>
        <color rgb="FFC00000"/>
        <rFont val="Calibri Light"/>
        <family val="2"/>
        <scheme val="major"/>
      </rPr>
      <t>actif</t>
    </r>
    <r>
      <rPr>
        <i/>
        <sz val="14"/>
        <color theme="3"/>
        <rFont val="Calibri Light"/>
        <family val="2"/>
        <scheme val="major"/>
      </rPr>
      <t xml:space="preserve"> PAC Geothermale</t>
    </r>
  </si>
  <si>
    <t>PAC Air/eau</t>
  </si>
  <si>
    <t>Autres postes de dépenses (préciser : Electricité CFO-CFA)</t>
  </si>
  <si>
    <t>COMMENTAIRES OU COMPLEMENTS A REMPLIR</t>
  </si>
  <si>
    <t>Le schéma indiqué n'indiquent pas clairement l'implantation des comptages, à vérifier (ceux sur fond jaune)</t>
  </si>
  <si>
    <t>si bâtiment neuf (critère supprimé en juin 2022)</t>
  </si>
  <si>
    <t>Type de travaux : Géothermie avec ou sans travaux de maîtrise de l'énergie</t>
  </si>
  <si>
    <t>Energie consommée avant travaux (usages thermiques)</t>
  </si>
  <si>
    <t>Energie consommée après travaux (usages thermiques)</t>
  </si>
  <si>
    <t>VERIFICATIONS / COMMENTAIRES</t>
  </si>
  <si>
    <t>COP DEMI-CARNOT "CHAUD"</t>
  </si>
  <si>
    <t>Valeur BE OK</t>
  </si>
  <si>
    <t>SCOP CALCUL "BE "</t>
  </si>
  <si>
    <t>On retient valeur "TABLEUR"</t>
  </si>
  <si>
    <t>COP / EER à la température de fonctionnement du projet ou COP MOYEN ANNUEL</t>
  </si>
  <si>
    <t>Température de fonctionnement au condenseur à la température extérieure de base (°C)</t>
  </si>
  <si>
    <r>
      <rPr>
        <b/>
        <sz val="14"/>
        <color theme="3"/>
        <rFont val="Calibri Light"/>
        <family val="2"/>
        <scheme val="major"/>
      </rPr>
      <t xml:space="preserve">Température moyenne </t>
    </r>
    <r>
      <rPr>
        <sz val="14"/>
        <color theme="3"/>
        <rFont val="Calibri Light"/>
        <family val="2"/>
        <scheme val="major"/>
      </rPr>
      <t>de fonctionnement au condenseur (°C)</t>
    </r>
  </si>
  <si>
    <r>
      <t>dont froid/</t>
    </r>
    <r>
      <rPr>
        <i/>
        <sz val="14"/>
        <color rgb="FFC00000"/>
        <rFont val="Calibri Light"/>
        <family val="2"/>
        <scheme val="major"/>
      </rPr>
      <t>appoint</t>
    </r>
  </si>
  <si>
    <t>DECRET TERTIARE (si assujjetti)  - Energie consommée base REFERENCE (Créf, tous usages, EF)</t>
  </si>
  <si>
    <t>Taux d'économie d'énergie (tous usages), A comparer à l'objectif Crelat (décret tertiaire)</t>
  </si>
  <si>
    <t>DECRET TERTIAIRE (si assujjetti)  - TERTIAIRE Energie consommée après travaux  (tous usages, EF)</t>
  </si>
  <si>
    <t>Date du commande des travaux (devis, marché)</t>
  </si>
  <si>
    <t>Besoins froid (périmètre "sortie production") :</t>
  </si>
  <si>
    <r>
      <t>Nombre d’heures équivalentes à puissance nominale (h) -</t>
    </r>
    <r>
      <rPr>
        <b/>
        <sz val="14"/>
        <color theme="3"/>
        <rFont val="Calibri Light"/>
        <family val="2"/>
        <scheme val="major"/>
      </rPr>
      <t xml:space="preserve"> (Recommandation à partir de 2023) </t>
    </r>
  </si>
  <si>
    <r>
      <t xml:space="preserve">Nombre d'heures équivalentes de fonctionnement à puissance nominale supérieure à 1000 h/an </t>
    </r>
    <r>
      <rPr>
        <b/>
        <sz val="11"/>
        <color theme="1"/>
        <rFont val="Calibri Light"/>
        <family val="2"/>
        <scheme val="major"/>
      </rPr>
      <t>(Recommandation à partir de 2023)</t>
    </r>
  </si>
  <si>
    <t>Nbre H PP &gt; 1000 (Recommandation à partir de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</si>
</sst>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6" formatCode="#,##0\ &quot;€&quot;;[Red]\-#,##0\ &quot;€&quot;"/>
    <numFmt numFmtId="8" formatCode="#,##0.00\ &quot;€&quot;;[Red]\-#,##0.00\ &quot;€&quot;"/>
    <numFmt numFmtId="44" formatCode="_-* #,##0.00\ &quot;€&quot;_-;\-* #,##0.00\ &quot;€&quot;_-;_-* &quot;-&quot;??\ &quot;€&quot;_-;_-@_-"/>
    <numFmt numFmtId="43" formatCode="_-* #,##0.00\ _€_-;\-* #,##0.00\ _€_-;_-* &quot;-&quot;??\ _€_-;_-@_-"/>
    <numFmt numFmtId="164" formatCode="General\ &quot;MWh/an&quot;"/>
    <numFmt numFmtId="165" formatCode="General\ &quot;mg/Nm3 à 6% d’O2&quot;"/>
    <numFmt numFmtId="166" formatCode="&quot;Critère max : &quot;General&quot;mg/Nm3 à 6% d’O2&quot;"/>
    <numFmt numFmtId="167" formatCode="General\ &quot;m²&quot;"/>
    <numFmt numFmtId="168" formatCode="General\ &quot;MW&quot;"/>
    <numFmt numFmtId="169" formatCode="General\ &quot;MWh utiles&quot;"/>
    <numFmt numFmtId="170" formatCode="General\ &quot;%&quot;"/>
    <numFmt numFmtId="171" formatCode="General\ &quot;MWh PCI&quot;"/>
    <numFmt numFmtId="172" formatCode="General\ &quot;mg/Nm3 à 6%O2&quot;"/>
    <numFmt numFmtId="173" formatCode="0.0%"/>
    <numFmt numFmtId="174" formatCode="General\ &quot;kWh/m²/an&quot;"/>
    <numFmt numFmtId="175" formatCode="General&quot;MWh/an&quot;"/>
    <numFmt numFmtId="176" formatCode="0.0"/>
    <numFmt numFmtId="177" formatCode="General\ &quot;kW&quot;"/>
    <numFmt numFmtId="178" formatCode="General\ &quot;MWh EF/an&quot;"/>
    <numFmt numFmtId="179" formatCode="#,##0.0\ &quot;€&quot;"/>
    <numFmt numFmtId="180" formatCode="#,##0.00\ &quot;€&quot;"/>
    <numFmt numFmtId="181" formatCode="0.00;[Red]0.00"/>
    <numFmt numFmtId="182" formatCode="#,##0\ &quot;€&quot;"/>
    <numFmt numFmtId="183" formatCode="#,##0.0\ &quot;€&quot;;[Red]\-#,##0.0\ &quot;€&quot;"/>
    <numFmt numFmtId="184" formatCode="#,##0\ &quot;€&quot;&quot;/MWh&quot;;\-#,##0\ &quot;€&quot;&quot;/MWh&quot;"/>
    <numFmt numFmtId="185" formatCode="#,##0\ &quot;€&quot;&quot;/MWh/an (20 ans)&quot;;\-#,##0\ &quot;€&quot;&quot;/MWh&quot;"/>
    <numFmt numFmtId="186" formatCode="0.000"/>
    <numFmt numFmtId="187" formatCode="#,##0.00_ ;\-#,##0.00\ "/>
    <numFmt numFmtId="188" formatCode="General\ &quot;ml&quot;"/>
    <numFmt numFmtId="189" formatCode="#,##0_ ;\-#,##0\ "/>
    <numFmt numFmtId="190" formatCode="_-* #,##0.00\ [$€-40C]_-;\-* #,##0.00\ [$€-40C]_-;_-* &quot;-&quot;??\ [$€-40C]_-;_-@_-"/>
    <numFmt numFmtId="191" formatCode="_-* #,##0\ &quot;€&quot;_-;\-* #,##0\ &quot;€&quot;_-;_-* &quot;-&quot;??\ &quot;€&quot;_-;_-@_-"/>
  </numFmts>
  <fonts count="259">
    <font>
      <sz val="11"/>
      <color theme="1"/>
      <name val="Calibri"/>
      <family val="2"/>
      <scheme val="minor"/>
    </font>
    <font>
      <sz val="8"/>
      <color theme="1"/>
      <name val="Arial"/>
      <family val="2"/>
    </font>
    <font>
      <sz val="9"/>
      <name val="Arial Black"/>
      <family val="2"/>
    </font>
    <font>
      <i/>
      <sz val="11"/>
      <color theme="1"/>
      <name val="Calibri"/>
      <family val="2"/>
      <scheme val="minor"/>
    </font>
    <font>
      <sz val="11"/>
      <color rgb="FFFF0000"/>
      <name val="Calibri"/>
      <family val="2"/>
      <scheme val="minor"/>
    </font>
    <font>
      <sz val="9"/>
      <color theme="1"/>
      <name val="Calibri"/>
      <family val="2"/>
      <scheme val="minor"/>
    </font>
    <font>
      <sz val="9"/>
      <color indexed="81"/>
      <name val="Tahoma"/>
      <family val="2"/>
    </font>
    <font>
      <b/>
      <sz val="9"/>
      <color indexed="81"/>
      <name val="Tahoma"/>
      <family val="2"/>
    </font>
    <font>
      <sz val="9"/>
      <color indexed="81"/>
      <name val="Marianne Medium"/>
      <family val="3"/>
    </font>
    <font>
      <sz val="9"/>
      <color indexed="81"/>
      <name val="Marianne Light"/>
      <family val="3"/>
    </font>
    <font>
      <b/>
      <sz val="9"/>
      <color indexed="81"/>
      <name val="Marianne Light"/>
      <family val="3"/>
    </font>
    <font>
      <sz val="9"/>
      <color rgb="FFFF0000"/>
      <name val="Calibri"/>
      <family val="2"/>
      <scheme val="minor"/>
    </font>
    <font>
      <sz val="9"/>
      <name val="Calibri"/>
      <family val="2"/>
      <scheme val="minor"/>
    </font>
    <font>
      <u val="double"/>
      <sz val="11"/>
      <color theme="1"/>
      <name val="Calibri"/>
      <family val="2"/>
      <scheme val="minor"/>
    </font>
    <font>
      <b/>
      <sz val="11"/>
      <color theme="1"/>
      <name val="Calibri"/>
      <family val="2"/>
      <scheme val="minor"/>
    </font>
    <font>
      <sz val="11"/>
      <color theme="4"/>
      <name val="Calibri"/>
      <family val="2"/>
      <scheme val="minor"/>
    </font>
    <font>
      <sz val="8"/>
      <color theme="1"/>
      <name val="Calibri"/>
      <family val="2"/>
      <scheme val="minor"/>
    </font>
    <font>
      <b/>
      <sz val="9"/>
      <color theme="1"/>
      <name val="Calibri"/>
      <family val="2"/>
      <scheme val="minor"/>
    </font>
    <font>
      <b/>
      <sz val="9"/>
      <name val="Calibri"/>
      <family val="2"/>
      <scheme val="minor"/>
    </font>
    <font>
      <b/>
      <sz val="9"/>
      <color rgb="FFFF0000"/>
      <name val="Calibri"/>
      <family val="2"/>
      <scheme val="minor"/>
    </font>
    <font>
      <u/>
      <sz val="10"/>
      <color theme="1"/>
      <name val="Calibri"/>
      <family val="2"/>
      <scheme val="minor"/>
    </font>
    <font>
      <b/>
      <sz val="10"/>
      <color theme="0"/>
      <name val="Calibri"/>
      <family val="2"/>
      <scheme val="minor"/>
    </font>
    <font>
      <u/>
      <sz val="11"/>
      <color theme="10"/>
      <name val="Calibri"/>
      <family val="2"/>
      <scheme val="minor"/>
    </font>
    <font>
      <sz val="11"/>
      <name val="Calibri"/>
      <family val="2"/>
      <scheme val="minor"/>
    </font>
    <font>
      <b/>
      <sz val="10"/>
      <color theme="1"/>
      <name val="Calibri"/>
      <family val="2"/>
      <scheme val="minor"/>
    </font>
    <font>
      <sz val="11"/>
      <color theme="9"/>
      <name val="Calibri"/>
      <family val="2"/>
      <scheme val="minor"/>
    </font>
    <font>
      <sz val="11"/>
      <color theme="1"/>
      <name val="Calibri"/>
      <family val="2"/>
      <scheme val="minor"/>
    </font>
    <font>
      <sz val="11"/>
      <color rgb="FF00B0F0"/>
      <name val="Calibri"/>
      <family val="2"/>
      <scheme val="minor"/>
    </font>
    <font>
      <b/>
      <sz val="10"/>
      <name val="Calibri"/>
      <family val="2"/>
      <scheme val="minor"/>
    </font>
    <font>
      <b/>
      <sz val="14"/>
      <color theme="1"/>
      <name val="Calibri"/>
      <family val="2"/>
      <scheme val="minor"/>
    </font>
    <font>
      <i/>
      <strike/>
      <sz val="11"/>
      <color theme="1"/>
      <name val="Calibri"/>
      <family val="2"/>
      <scheme val="minor"/>
    </font>
    <font>
      <strike/>
      <sz val="11"/>
      <color theme="1"/>
      <name val="Calibri"/>
      <family val="2"/>
      <scheme val="minor"/>
    </font>
    <font>
      <strike/>
      <sz val="11"/>
      <color rgb="FFFF0000"/>
      <name val="Calibri"/>
      <family val="2"/>
      <scheme val="minor"/>
    </font>
    <font>
      <b/>
      <sz val="12"/>
      <color theme="1"/>
      <name val="Marianne"/>
      <family val="3"/>
    </font>
    <font>
      <b/>
      <sz val="10"/>
      <color rgb="FFFF0000"/>
      <name val="Calibri"/>
      <family val="2"/>
      <scheme val="minor"/>
    </font>
    <font>
      <sz val="10"/>
      <color theme="1"/>
      <name val="Calibri"/>
      <family val="2"/>
      <scheme val="minor"/>
    </font>
    <font>
      <sz val="10"/>
      <name val="Calibri"/>
      <family val="2"/>
      <scheme val="minor"/>
    </font>
    <font>
      <b/>
      <sz val="14"/>
      <color rgb="FF00B0F0"/>
      <name val="Calibri"/>
      <family val="2"/>
      <scheme val="minor"/>
    </font>
    <font>
      <sz val="10"/>
      <name val="Arial"/>
      <family val="2"/>
    </font>
    <font>
      <b/>
      <sz val="11"/>
      <color theme="3"/>
      <name val="Calibri"/>
      <family val="2"/>
      <scheme val="minor"/>
    </font>
    <font>
      <sz val="10"/>
      <color rgb="FFFF0000"/>
      <name val="Calibri"/>
      <family val="2"/>
      <scheme val="minor"/>
    </font>
    <font>
      <b/>
      <sz val="24"/>
      <color theme="8"/>
      <name val="Calibri Light"/>
      <family val="2"/>
      <scheme val="major"/>
    </font>
    <font>
      <sz val="11"/>
      <name val="Calibri Light"/>
      <family val="2"/>
      <scheme val="major"/>
    </font>
    <font>
      <sz val="9"/>
      <color theme="3"/>
      <name val="Calibri"/>
      <family val="2"/>
      <scheme val="minor"/>
    </font>
    <font>
      <sz val="11"/>
      <color theme="3"/>
      <name val="Calibri"/>
      <family val="2"/>
      <scheme val="minor"/>
    </font>
    <font>
      <sz val="14"/>
      <color theme="3"/>
      <name val="Marianne"/>
      <family val="3"/>
    </font>
    <font>
      <b/>
      <sz val="14"/>
      <color theme="3"/>
      <name val="Marianne"/>
      <family val="3"/>
    </font>
    <font>
      <sz val="11"/>
      <color rgb="FFFFC000"/>
      <name val="Calibri"/>
      <family val="2"/>
      <scheme val="minor"/>
    </font>
    <font>
      <b/>
      <sz val="14"/>
      <color rgb="FFFF0000"/>
      <name val="Calibri"/>
      <family val="2"/>
      <scheme val="minor"/>
    </font>
    <font>
      <b/>
      <sz val="14"/>
      <color rgb="FFFFC000"/>
      <name val="Calibri"/>
      <family val="2"/>
      <scheme val="minor"/>
    </font>
    <font>
      <b/>
      <sz val="14"/>
      <color theme="9"/>
      <name val="Calibri"/>
      <family val="2"/>
      <scheme val="minor"/>
    </font>
    <font>
      <i/>
      <sz val="10"/>
      <name val="Calibri"/>
      <family val="2"/>
      <scheme val="minor"/>
    </font>
    <font>
      <i/>
      <sz val="10"/>
      <name val="Arial"/>
      <family val="2"/>
    </font>
    <font>
      <sz val="30"/>
      <color rgb="FFC85D17"/>
      <name val="Arial Black"/>
      <family val="2"/>
    </font>
    <font>
      <b/>
      <sz val="23"/>
      <color indexed="9"/>
      <name val="Arial"/>
      <family val="2"/>
    </font>
    <font>
      <b/>
      <sz val="11"/>
      <color indexed="9"/>
      <name val="Arial"/>
      <family val="2"/>
    </font>
    <font>
      <sz val="9"/>
      <color indexed="9"/>
      <name val="Calibri"/>
      <family val="2"/>
    </font>
    <font>
      <sz val="9.5"/>
      <color indexed="9"/>
      <name val="Calibri"/>
      <family val="2"/>
    </font>
    <font>
      <sz val="9"/>
      <color theme="1" tint="0.499984740745262"/>
      <name val="Calibri"/>
      <family val="2"/>
    </font>
    <font>
      <sz val="9.5"/>
      <color theme="1" tint="0.499984740745262"/>
      <name val="Calibri"/>
      <family val="2"/>
    </font>
    <font>
      <i/>
      <sz val="10"/>
      <color theme="3"/>
      <name val="Calibri"/>
      <family val="2"/>
      <scheme val="minor"/>
    </font>
    <font>
      <b/>
      <u/>
      <sz val="11"/>
      <color theme="1"/>
      <name val="Calibri"/>
      <family val="2"/>
      <scheme val="minor"/>
    </font>
    <font>
      <b/>
      <sz val="11"/>
      <name val="Calibri Light"/>
      <family val="2"/>
      <scheme val="major"/>
    </font>
    <font>
      <i/>
      <sz val="11"/>
      <name val="Calibri Light"/>
      <family val="2"/>
      <scheme val="major"/>
    </font>
    <font>
      <b/>
      <sz val="11"/>
      <name val="Calibri"/>
      <family val="2"/>
      <scheme val="minor"/>
    </font>
    <font>
      <b/>
      <sz val="11"/>
      <color rgb="FFFF0000"/>
      <name val="Calibri"/>
      <family val="2"/>
      <scheme val="minor"/>
    </font>
    <font>
      <b/>
      <sz val="12"/>
      <name val="Calibri"/>
      <family val="2"/>
      <scheme val="minor"/>
    </font>
    <font>
      <b/>
      <sz val="12"/>
      <color theme="1"/>
      <name val="Calibri"/>
      <family val="2"/>
      <scheme val="minor"/>
    </font>
    <font>
      <b/>
      <sz val="12"/>
      <color rgb="FF333333"/>
      <name val="Calibri"/>
      <family val="2"/>
      <scheme val="minor"/>
    </font>
    <font>
      <b/>
      <sz val="12"/>
      <color rgb="FFFF0000"/>
      <name val="Calibri"/>
      <family val="2"/>
      <scheme val="minor"/>
    </font>
    <font>
      <b/>
      <i/>
      <sz val="11"/>
      <color theme="4"/>
      <name val="Calibri"/>
      <family val="2"/>
      <scheme val="minor"/>
    </font>
    <font>
      <sz val="14"/>
      <color indexed="81"/>
      <name val="Tahoma"/>
      <family val="2"/>
    </font>
    <font>
      <u/>
      <sz val="11"/>
      <color theme="1"/>
      <name val="Calibri"/>
      <family val="2"/>
      <scheme val="minor"/>
    </font>
    <font>
      <b/>
      <sz val="22"/>
      <color indexed="9"/>
      <name val="Arial"/>
      <family val="2"/>
    </font>
    <font>
      <sz val="8"/>
      <name val="Arial"/>
      <family val="2"/>
    </font>
    <font>
      <b/>
      <sz val="13"/>
      <name val="Calibri Light"/>
      <family val="2"/>
      <scheme val="major"/>
    </font>
    <font>
      <b/>
      <sz val="11"/>
      <color theme="0"/>
      <name val="Calibri"/>
      <family val="2"/>
      <scheme val="minor"/>
    </font>
    <font>
      <b/>
      <sz val="10"/>
      <color theme="3"/>
      <name val="Marianne"/>
      <family val="3"/>
    </font>
    <font>
      <sz val="10"/>
      <color theme="3"/>
      <name val="Marianne"/>
      <family val="3"/>
    </font>
    <font>
      <b/>
      <sz val="10"/>
      <name val="Marianne Light"/>
      <family val="3"/>
    </font>
    <font>
      <b/>
      <sz val="10"/>
      <color rgb="FF003399"/>
      <name val="Calibri"/>
      <family val="2"/>
      <scheme val="minor"/>
    </font>
    <font>
      <sz val="10"/>
      <color rgb="FF003399"/>
      <name val="Calibri"/>
      <family val="2"/>
      <scheme val="minor"/>
    </font>
    <font>
      <b/>
      <sz val="10"/>
      <color rgb="FFC00000"/>
      <name val="Calibri"/>
      <family val="2"/>
      <scheme val="minor"/>
    </font>
    <font>
      <sz val="10"/>
      <color theme="5"/>
      <name val="Calibri"/>
      <family val="2"/>
      <scheme val="minor"/>
    </font>
    <font>
      <b/>
      <sz val="10"/>
      <color theme="5"/>
      <name val="Calibri"/>
      <family val="2"/>
      <scheme val="minor"/>
    </font>
    <font>
      <sz val="14"/>
      <color theme="0"/>
      <name val="Berlin Sans FB Demi"/>
      <family val="2"/>
    </font>
    <font>
      <sz val="11"/>
      <color theme="0"/>
      <name val="Berlin Sans FB Demi"/>
      <family val="2"/>
    </font>
    <font>
      <b/>
      <i/>
      <u/>
      <sz val="11"/>
      <color rgb="FF1563FF"/>
      <name val="Calibri"/>
      <family val="2"/>
      <scheme val="minor"/>
    </font>
    <font>
      <sz val="8"/>
      <color rgb="FF003399"/>
      <name val="Arial"/>
      <family val="2"/>
    </font>
    <font>
      <sz val="10"/>
      <color rgb="FF003399"/>
      <name val="Arial"/>
      <family val="2"/>
    </font>
    <font>
      <sz val="9"/>
      <color indexed="81"/>
      <name val="Marianne Light "/>
    </font>
    <font>
      <b/>
      <sz val="22"/>
      <name val="Marianne"/>
      <family val="3"/>
    </font>
    <font>
      <sz val="16"/>
      <name val="Marianne"/>
      <family val="3"/>
    </font>
    <font>
      <sz val="20"/>
      <name val="Marianne Light"/>
      <family val="3"/>
    </font>
    <font>
      <sz val="9"/>
      <name val="Marianne"/>
      <family val="3"/>
    </font>
    <font>
      <sz val="11"/>
      <name val="Marianne"/>
      <family val="3"/>
    </font>
    <font>
      <sz val="14"/>
      <name val="Marianne"/>
      <family val="3"/>
    </font>
    <font>
      <b/>
      <sz val="12"/>
      <name val="Marianne"/>
      <family val="3"/>
    </font>
    <font>
      <b/>
      <sz val="14"/>
      <name val="Marianne"/>
      <family val="3"/>
    </font>
    <font>
      <i/>
      <sz val="11"/>
      <name val="Calibri"/>
      <family val="2"/>
      <scheme val="minor"/>
    </font>
    <font>
      <i/>
      <sz val="9"/>
      <name val="Calibri"/>
      <family val="2"/>
      <scheme val="minor"/>
    </font>
    <font>
      <b/>
      <sz val="14"/>
      <name val="Calibri"/>
      <family val="2"/>
      <scheme val="minor"/>
    </font>
    <font>
      <sz val="9"/>
      <name val="Calibri Light"/>
      <family val="2"/>
      <scheme val="major"/>
    </font>
    <font>
      <sz val="8"/>
      <name val="Calibri"/>
      <family val="2"/>
      <scheme val="minor"/>
    </font>
    <font>
      <b/>
      <sz val="13"/>
      <name val="Calibri"/>
      <family val="2"/>
      <scheme val="minor"/>
    </font>
    <font>
      <u/>
      <sz val="11"/>
      <name val="Calibri"/>
      <family val="2"/>
      <scheme val="minor"/>
    </font>
    <font>
      <u/>
      <sz val="10"/>
      <name val="Calibri"/>
      <family val="2"/>
      <scheme val="minor"/>
    </font>
    <font>
      <b/>
      <u/>
      <sz val="11"/>
      <name val="Calibri"/>
      <family val="2"/>
      <scheme val="minor"/>
    </font>
    <font>
      <u val="double"/>
      <sz val="11"/>
      <name val="Calibri"/>
      <family val="2"/>
      <scheme val="minor"/>
    </font>
    <font>
      <b/>
      <sz val="11"/>
      <color rgb="FF333333"/>
      <name val="Calibri"/>
      <family val="2"/>
      <scheme val="minor"/>
    </font>
    <font>
      <b/>
      <sz val="11"/>
      <color theme="7" tint="-0.249977111117893"/>
      <name val="Calibri"/>
      <family val="2"/>
      <scheme val="minor"/>
    </font>
    <font>
      <sz val="12"/>
      <name val="Calibri"/>
      <family val="2"/>
      <scheme val="minor"/>
    </font>
    <font>
      <b/>
      <i/>
      <sz val="10"/>
      <name val="Calibri"/>
      <family val="2"/>
      <scheme val="minor"/>
    </font>
    <font>
      <i/>
      <u/>
      <sz val="9"/>
      <name val="Calibri"/>
      <family val="2"/>
      <scheme val="minor"/>
    </font>
    <font>
      <b/>
      <sz val="10"/>
      <color rgb="FF003399"/>
      <name val="Arial"/>
      <family val="2"/>
    </font>
    <font>
      <b/>
      <sz val="10"/>
      <name val="Arial"/>
      <family val="2"/>
    </font>
    <font>
      <b/>
      <u/>
      <sz val="11"/>
      <name val="Calibri Light"/>
      <family val="2"/>
      <scheme val="major"/>
    </font>
    <font>
      <b/>
      <sz val="16"/>
      <name val="Arial"/>
      <family val="2"/>
    </font>
    <font>
      <b/>
      <sz val="16"/>
      <color indexed="10"/>
      <name val="Arial"/>
      <family val="2"/>
    </font>
    <font>
      <b/>
      <sz val="14"/>
      <name val="Arial"/>
      <family val="2"/>
    </font>
    <font>
      <b/>
      <u/>
      <sz val="10"/>
      <color indexed="10"/>
      <name val="Arial"/>
      <family val="2"/>
    </font>
    <font>
      <b/>
      <sz val="10"/>
      <color indexed="10"/>
      <name val="Arial"/>
      <family val="2"/>
    </font>
    <font>
      <b/>
      <sz val="11"/>
      <name val="Arial"/>
      <family val="2"/>
    </font>
    <font>
      <b/>
      <i/>
      <sz val="10"/>
      <name val="Arial"/>
      <family val="2"/>
    </font>
    <font>
      <b/>
      <sz val="12"/>
      <name val="Arial"/>
      <family val="2"/>
    </font>
    <font>
      <sz val="10"/>
      <color indexed="9"/>
      <name val="Arial"/>
      <family val="2"/>
    </font>
    <font>
      <sz val="9"/>
      <name val="Arial"/>
      <family val="2"/>
    </font>
    <font>
      <b/>
      <sz val="8"/>
      <name val="Arial"/>
      <family val="2"/>
    </font>
    <font>
      <b/>
      <vertAlign val="subscript"/>
      <sz val="10"/>
      <name val="Arial"/>
      <family val="2"/>
    </font>
    <font>
      <b/>
      <sz val="16"/>
      <color rgb="FFFF0000"/>
      <name val="Arial"/>
      <family val="2"/>
    </font>
    <font>
      <sz val="10"/>
      <color indexed="55"/>
      <name val="Arial"/>
      <family val="2"/>
    </font>
    <font>
      <sz val="10"/>
      <color theme="0" tint="-0.34998626667073579"/>
      <name val="Arial"/>
      <family val="2"/>
    </font>
    <font>
      <b/>
      <sz val="10"/>
      <color indexed="9"/>
      <name val="Arial"/>
      <family val="2"/>
    </font>
    <font>
      <sz val="10"/>
      <color theme="1"/>
      <name val="Arial"/>
      <family val="2"/>
    </font>
    <font>
      <b/>
      <sz val="10"/>
      <color rgb="FFFF0000"/>
      <name val="Arial"/>
      <family val="2"/>
    </font>
    <font>
      <b/>
      <sz val="10"/>
      <color indexed="48"/>
      <name val="Arial"/>
      <family val="2"/>
    </font>
    <font>
      <sz val="10"/>
      <color theme="0" tint="-0.249977111117893"/>
      <name val="Arial"/>
      <family val="2"/>
    </font>
    <font>
      <b/>
      <sz val="9"/>
      <color indexed="81"/>
      <name val="Arial"/>
      <family val="2"/>
    </font>
    <font>
      <sz val="9"/>
      <color indexed="81"/>
      <name val="Arial"/>
      <family val="2"/>
    </font>
    <font>
      <b/>
      <sz val="10"/>
      <color indexed="81"/>
      <name val="Tahoma"/>
      <family val="2"/>
    </font>
    <font>
      <b/>
      <u/>
      <sz val="10"/>
      <color indexed="81"/>
      <name val="Tahoma"/>
      <family val="2"/>
    </font>
    <font>
      <b/>
      <u/>
      <sz val="9"/>
      <color indexed="81"/>
      <name val="Tahoma"/>
      <family val="2"/>
    </font>
    <font>
      <b/>
      <sz val="8"/>
      <color indexed="81"/>
      <name val="Tahoma"/>
      <family val="2"/>
    </font>
    <font>
      <sz val="8"/>
      <color indexed="81"/>
      <name val="Tahoma"/>
      <family val="2"/>
    </font>
    <font>
      <sz val="14"/>
      <color theme="0"/>
      <name val="Marianne"/>
      <family val="3"/>
    </font>
    <font>
      <sz val="13"/>
      <color theme="1"/>
      <name val="Calibri"/>
      <family val="2"/>
      <scheme val="minor"/>
    </font>
    <font>
      <b/>
      <sz val="13"/>
      <color theme="0"/>
      <name val="Calibri"/>
      <family val="2"/>
      <scheme val="minor"/>
    </font>
    <font>
      <sz val="11"/>
      <color theme="1"/>
      <name val="Calibri Light"/>
      <family val="2"/>
      <scheme val="major"/>
    </font>
    <font>
      <u/>
      <sz val="11"/>
      <color theme="10"/>
      <name val="Calibri Light"/>
      <family val="2"/>
      <scheme val="major"/>
    </font>
    <font>
      <b/>
      <u/>
      <sz val="13"/>
      <color theme="0"/>
      <name val="Calibri"/>
      <family val="2"/>
      <scheme val="minor"/>
    </font>
    <font>
      <i/>
      <sz val="11"/>
      <color theme="1"/>
      <name val="Calibri Light"/>
      <family val="2"/>
      <scheme val="major"/>
    </font>
    <font>
      <sz val="11"/>
      <color theme="3"/>
      <name val="Calibri Light"/>
      <family val="2"/>
      <scheme val="major"/>
    </font>
    <font>
      <sz val="9"/>
      <color theme="1"/>
      <name val="Calibri Light"/>
      <family val="2"/>
      <scheme val="major"/>
    </font>
    <font>
      <b/>
      <sz val="16"/>
      <color theme="8"/>
      <name val="Marianne"/>
      <family val="3"/>
    </font>
    <font>
      <sz val="16"/>
      <color theme="8"/>
      <name val="Marianne"/>
      <family val="3"/>
    </font>
    <font>
      <sz val="16"/>
      <color theme="8"/>
      <name val="Marianne Light"/>
      <family val="3"/>
    </font>
    <font>
      <sz val="9"/>
      <color theme="8"/>
      <name val="Marianne"/>
      <family val="3"/>
    </font>
    <font>
      <sz val="11"/>
      <color theme="8"/>
      <name val="Marianne"/>
      <family val="3"/>
    </font>
    <font>
      <b/>
      <u/>
      <sz val="10"/>
      <color rgb="FF008080"/>
      <name val="Arial"/>
      <family val="2"/>
    </font>
    <font>
      <b/>
      <sz val="14"/>
      <color theme="0"/>
      <name val="Calibri"/>
      <family val="2"/>
      <scheme val="minor"/>
    </font>
    <font>
      <b/>
      <sz val="13"/>
      <color theme="0"/>
      <name val="Calibri Light"/>
      <family val="2"/>
      <scheme val="major"/>
    </font>
    <font>
      <i/>
      <sz val="10"/>
      <color theme="1"/>
      <name val="Calibri"/>
      <family val="2"/>
      <scheme val="minor"/>
    </font>
    <font>
      <b/>
      <sz val="11"/>
      <color theme="1"/>
      <name val="Calibri Light"/>
      <family val="2"/>
      <scheme val="major"/>
    </font>
    <font>
      <b/>
      <sz val="14"/>
      <color theme="3"/>
      <name val="Calibri"/>
      <family val="2"/>
      <scheme val="minor"/>
    </font>
    <font>
      <b/>
      <sz val="13"/>
      <color theme="3"/>
      <name val="Calibri Light"/>
      <family val="2"/>
      <scheme val="major"/>
    </font>
    <font>
      <sz val="10"/>
      <color theme="3"/>
      <name val="Calibri"/>
      <family val="2"/>
      <scheme val="minor"/>
    </font>
    <font>
      <b/>
      <sz val="11"/>
      <color theme="3"/>
      <name val="Calibri Light"/>
      <family val="2"/>
      <scheme val="major"/>
    </font>
    <font>
      <b/>
      <u/>
      <sz val="11"/>
      <color theme="3"/>
      <name val="Calibri Light"/>
      <family val="2"/>
      <scheme val="major"/>
    </font>
    <font>
      <b/>
      <sz val="16"/>
      <color theme="3"/>
      <name val="Marianne"/>
      <family val="3"/>
    </font>
    <font>
      <sz val="16"/>
      <color theme="3"/>
      <name val="Marianne"/>
      <family val="3"/>
    </font>
    <font>
      <sz val="16"/>
      <color theme="3"/>
      <name val="Marianne Light"/>
      <family val="3"/>
    </font>
    <font>
      <sz val="9"/>
      <color theme="3"/>
      <name val="Marianne"/>
      <family val="3"/>
    </font>
    <font>
      <sz val="11"/>
      <color theme="3"/>
      <name val="Marianne"/>
      <family val="3"/>
    </font>
    <font>
      <b/>
      <sz val="12"/>
      <color theme="3"/>
      <name val="Marianne"/>
      <family val="3"/>
    </font>
    <font>
      <i/>
      <sz val="11"/>
      <color theme="3"/>
      <name val="Calibri"/>
      <family val="2"/>
      <scheme val="minor"/>
    </font>
    <font>
      <i/>
      <sz val="9"/>
      <color theme="3"/>
      <name val="Calibri"/>
      <family val="2"/>
      <scheme val="minor"/>
    </font>
    <font>
      <sz val="10"/>
      <color indexed="81"/>
      <name val="Tahoma"/>
      <family val="2"/>
    </font>
    <font>
      <sz val="11"/>
      <color indexed="81"/>
      <name val="Calibri Light"/>
      <family val="2"/>
      <scheme val="major"/>
    </font>
    <font>
      <b/>
      <sz val="11"/>
      <color indexed="81"/>
      <name val="Calibri Light"/>
      <family val="2"/>
      <scheme val="major"/>
    </font>
    <font>
      <b/>
      <sz val="12"/>
      <color theme="3"/>
      <name val="Calibri Light"/>
      <family val="2"/>
      <scheme val="major"/>
    </font>
    <font>
      <b/>
      <sz val="12"/>
      <color theme="0"/>
      <name val="Calibri"/>
      <family val="2"/>
      <scheme val="minor"/>
    </font>
    <font>
      <sz val="12"/>
      <color theme="3"/>
      <name val="Calibri Light"/>
      <family val="2"/>
      <scheme val="major"/>
    </font>
    <font>
      <i/>
      <sz val="12"/>
      <color theme="3"/>
      <name val="Calibri Light"/>
      <family val="2"/>
      <scheme val="major"/>
    </font>
    <font>
      <sz val="14"/>
      <color theme="3"/>
      <name val="Calibri Light"/>
      <family val="2"/>
      <scheme val="major"/>
    </font>
    <font>
      <b/>
      <sz val="11"/>
      <color theme="5"/>
      <name val="Calibri"/>
      <family val="2"/>
      <scheme val="minor"/>
    </font>
    <font>
      <b/>
      <sz val="11"/>
      <color rgb="FFC00000"/>
      <name val="Calibri"/>
      <family val="2"/>
      <scheme val="minor"/>
    </font>
    <font>
      <sz val="12"/>
      <color theme="3"/>
      <name val="Calibri"/>
      <family val="2"/>
      <scheme val="minor"/>
    </font>
    <font>
      <sz val="12"/>
      <color theme="1"/>
      <name val="Calibri"/>
      <family val="2"/>
      <scheme val="minor"/>
    </font>
    <font>
      <b/>
      <sz val="12"/>
      <color indexed="81"/>
      <name val="Tahoma"/>
      <family val="2"/>
    </font>
    <font>
      <i/>
      <sz val="14"/>
      <color theme="3"/>
      <name val="Calibri"/>
      <family val="2"/>
      <scheme val="minor"/>
    </font>
    <font>
      <b/>
      <sz val="11"/>
      <color rgb="FF00B0F0"/>
      <name val="Calibri Light"/>
      <family val="2"/>
      <scheme val="major"/>
    </font>
    <font>
      <b/>
      <sz val="11"/>
      <color rgb="FF00B0F0"/>
      <name val="Calibri"/>
      <family val="2"/>
      <scheme val="minor"/>
    </font>
    <font>
      <b/>
      <sz val="11"/>
      <color rgb="FFFF0000"/>
      <name val="Calibri Light"/>
      <family val="2"/>
      <scheme val="major"/>
    </font>
    <font>
      <i/>
      <sz val="12"/>
      <color rgb="FFC00000"/>
      <name val="Arial"/>
      <family val="2"/>
    </font>
    <font>
      <sz val="12"/>
      <name val="Calibri Light"/>
      <family val="2"/>
      <scheme val="major"/>
    </font>
    <font>
      <sz val="12"/>
      <color rgb="FFFF0000"/>
      <name val="Calibri"/>
      <family val="2"/>
      <scheme val="minor"/>
    </font>
    <font>
      <i/>
      <sz val="12"/>
      <name val="Calibri"/>
      <family val="2"/>
      <scheme val="minor"/>
    </font>
    <font>
      <b/>
      <sz val="12"/>
      <color theme="3"/>
      <name val="Calibri"/>
      <family val="2"/>
      <scheme val="minor"/>
    </font>
    <font>
      <b/>
      <sz val="11"/>
      <color indexed="81"/>
      <name val="Tahoma"/>
      <family val="2"/>
    </font>
    <font>
      <sz val="14"/>
      <color theme="0"/>
      <name val="Calibri Light"/>
      <family val="2"/>
      <scheme val="major"/>
    </font>
    <font>
      <b/>
      <sz val="13"/>
      <color theme="3" tint="-0.499984740745262"/>
      <name val="Calibri Light"/>
      <family val="2"/>
      <scheme val="major"/>
    </font>
    <font>
      <sz val="14"/>
      <color rgb="FF0070C0"/>
      <name val="Calibri Light"/>
      <family val="2"/>
      <scheme val="major"/>
    </font>
    <font>
      <sz val="13"/>
      <color theme="3"/>
      <name val="Calibri"/>
      <family val="2"/>
      <scheme val="minor"/>
    </font>
    <font>
      <i/>
      <sz val="16"/>
      <color theme="3"/>
      <name val="Calibri Light"/>
      <family val="2"/>
      <scheme val="major"/>
    </font>
    <font>
      <sz val="12"/>
      <color rgb="FFFF0000"/>
      <name val="Calibri Light"/>
      <family val="2"/>
      <scheme val="major"/>
    </font>
    <font>
      <b/>
      <strike/>
      <sz val="14"/>
      <color theme="0"/>
      <name val="Calibri"/>
      <family val="2"/>
      <scheme val="minor"/>
    </font>
    <font>
      <strike/>
      <sz val="11"/>
      <color theme="3"/>
      <name val="Calibri Light"/>
      <family val="2"/>
      <scheme val="major"/>
    </font>
    <font>
      <strike/>
      <sz val="9"/>
      <color theme="1"/>
      <name val="Calibri"/>
      <family val="2"/>
      <scheme val="minor"/>
    </font>
    <font>
      <b/>
      <sz val="11"/>
      <color theme="9"/>
      <name val="Calibri"/>
      <family val="2"/>
      <scheme val="minor"/>
    </font>
    <font>
      <i/>
      <sz val="11"/>
      <color theme="9"/>
      <name val="Calibri"/>
      <family val="2"/>
      <scheme val="minor"/>
    </font>
    <font>
      <b/>
      <sz val="14"/>
      <color theme="3"/>
      <name val="Calibri Light"/>
      <family val="2"/>
      <scheme val="major"/>
    </font>
    <font>
      <sz val="14"/>
      <color rgb="FFFF0000"/>
      <name val="Calibri Light"/>
      <family val="2"/>
      <scheme val="major"/>
    </font>
    <font>
      <sz val="11"/>
      <color theme="1"/>
      <name val="Wingdings"/>
      <charset val="2"/>
    </font>
    <font>
      <sz val="7"/>
      <color theme="1"/>
      <name val="Times New Roman"/>
      <family val="1"/>
    </font>
    <font>
      <i/>
      <sz val="11"/>
      <color rgb="FFC00000"/>
      <name val="Calibri"/>
      <family val="2"/>
      <scheme val="minor"/>
    </font>
    <font>
      <b/>
      <u/>
      <sz val="14"/>
      <color theme="1"/>
      <name val="Calibri"/>
      <family val="2"/>
      <scheme val="minor"/>
    </font>
    <font>
      <sz val="11"/>
      <name val="Wingdings"/>
      <charset val="2"/>
    </font>
    <font>
      <sz val="7"/>
      <name val="Times New Roman"/>
      <family val="1"/>
    </font>
    <font>
      <sz val="11"/>
      <color rgb="FFC00000"/>
      <name val="Calibri"/>
      <family val="2"/>
      <scheme val="minor"/>
    </font>
    <font>
      <sz val="12"/>
      <color indexed="81"/>
      <name val="Marianne Medium"/>
      <family val="3"/>
    </font>
    <font>
      <sz val="12"/>
      <color indexed="81"/>
      <name val="Marianne Light"/>
      <family val="3"/>
    </font>
    <font>
      <sz val="14"/>
      <color theme="3"/>
      <name val="Calibri"/>
      <family val="2"/>
      <scheme val="minor"/>
    </font>
    <font>
      <i/>
      <sz val="14"/>
      <color theme="3"/>
      <name val="Calibri Light"/>
      <family val="2"/>
      <scheme val="major"/>
    </font>
    <font>
      <sz val="12"/>
      <color theme="1"/>
      <name val="Calibri Light"/>
      <family val="2"/>
      <scheme val="major"/>
    </font>
    <font>
      <b/>
      <sz val="12"/>
      <color theme="1"/>
      <name val="Calibri Light"/>
      <family val="2"/>
      <scheme val="major"/>
    </font>
    <font>
      <sz val="14"/>
      <color theme="1"/>
      <name val="Calibri Light"/>
      <family val="2"/>
      <scheme val="major"/>
    </font>
    <font>
      <sz val="14"/>
      <color theme="1"/>
      <name val="Calibri"/>
      <family val="2"/>
      <scheme val="minor"/>
    </font>
    <font>
      <sz val="12"/>
      <color theme="0"/>
      <name val="Calibri"/>
      <family val="2"/>
      <scheme val="minor"/>
    </font>
    <font>
      <sz val="11"/>
      <color theme="0"/>
      <name val="Calibri Light"/>
      <family val="2"/>
      <scheme val="major"/>
    </font>
    <font>
      <b/>
      <i/>
      <sz val="11"/>
      <color theme="1"/>
      <name val="Calibri Light"/>
      <family val="2"/>
      <scheme val="major"/>
    </font>
    <font>
      <sz val="11"/>
      <color theme="0"/>
      <name val="Calibri"/>
      <family val="2"/>
      <scheme val="minor"/>
    </font>
    <font>
      <sz val="18"/>
      <color theme="3"/>
      <name val="Calibri"/>
      <family val="2"/>
      <scheme val="minor"/>
    </font>
    <font>
      <b/>
      <i/>
      <sz val="14"/>
      <color theme="3"/>
      <name val="Calibri Light"/>
      <family val="2"/>
      <scheme val="major"/>
    </font>
    <font>
      <b/>
      <i/>
      <sz val="11"/>
      <color rgb="FFC00000"/>
      <name val="Calibri"/>
      <family val="2"/>
      <scheme val="minor"/>
    </font>
    <font>
      <i/>
      <sz val="14"/>
      <color rgb="FFC00000"/>
      <name val="Calibri Light"/>
      <family val="2"/>
      <scheme val="major"/>
    </font>
    <font>
      <sz val="10"/>
      <color rgb="FFC00000"/>
      <name val="Calibri"/>
      <family val="2"/>
      <scheme val="minor"/>
    </font>
    <font>
      <b/>
      <sz val="14"/>
      <color theme="1"/>
      <name val="Calibri Light"/>
      <family val="2"/>
      <scheme val="major"/>
    </font>
    <font>
      <sz val="9"/>
      <color theme="0"/>
      <name val="Marianne"/>
      <family val="3"/>
    </font>
    <font>
      <i/>
      <sz val="8"/>
      <color theme="3"/>
      <name val="Calibri"/>
      <family val="2"/>
      <scheme val="minor"/>
    </font>
    <font>
      <b/>
      <sz val="10"/>
      <color theme="7" tint="-0.249977111117893"/>
      <name val="Calibri"/>
      <family val="2"/>
      <scheme val="minor"/>
    </font>
    <font>
      <b/>
      <sz val="12"/>
      <color rgb="FFC00000"/>
      <name val="Calibri"/>
      <family val="2"/>
      <scheme val="minor"/>
    </font>
    <font>
      <sz val="10"/>
      <color theme="1"/>
      <name val="Marianne"/>
      <family val="3"/>
    </font>
    <font>
      <sz val="11"/>
      <color theme="1"/>
      <name val="Arial"/>
      <family val="2"/>
    </font>
    <font>
      <sz val="11"/>
      <color theme="0"/>
      <name val="Arial"/>
      <family val="2"/>
    </font>
    <font>
      <sz val="12"/>
      <color theme="3"/>
      <name val="Marianne"/>
      <family val="3"/>
    </font>
    <font>
      <sz val="10"/>
      <color theme="7" tint="-0.249977111117893"/>
      <name val="Marianne"/>
      <family val="3"/>
    </font>
    <font>
      <sz val="10"/>
      <color rgb="FF002060"/>
      <name val="Marianne"/>
      <family val="3"/>
    </font>
    <font>
      <sz val="11"/>
      <color theme="0"/>
      <name val="Marianne"/>
      <family val="3"/>
    </font>
    <font>
      <sz val="20"/>
      <color theme="0"/>
      <name val="Marianne Light"/>
      <family val="3"/>
    </font>
    <font>
      <sz val="16"/>
      <color theme="0"/>
      <name val="Marianne"/>
      <family val="3"/>
    </font>
    <font>
      <b/>
      <sz val="22"/>
      <color theme="0"/>
      <name val="Marianne"/>
      <family val="3"/>
    </font>
    <font>
      <u/>
      <sz val="12"/>
      <color theme="7" tint="-0.249977111117893"/>
      <name val="Marianne"/>
      <family val="3"/>
    </font>
    <font>
      <sz val="36"/>
      <color theme="1"/>
      <name val="Marianne"/>
      <family val="3"/>
    </font>
    <font>
      <sz val="8"/>
      <color theme="1"/>
      <name val="Marianne"/>
      <family val="3"/>
    </font>
    <font>
      <sz val="14"/>
      <color rgb="FF00B0F0"/>
      <name val="Calibri"/>
      <family val="2"/>
      <scheme val="minor"/>
    </font>
    <font>
      <sz val="11"/>
      <color theme="3"/>
      <name val="Calibri"/>
      <scheme val="minor"/>
    </font>
    <font>
      <b/>
      <sz val="9"/>
      <color indexed="81"/>
      <name val="Tahoma"/>
      <charset val="1"/>
    </font>
    <font>
      <sz val="11"/>
      <color rgb="FF44546A"/>
      <name val="Calibri"/>
      <family val="2"/>
    </font>
    <font>
      <sz val="11"/>
      <color theme="0" tint="-4.9989318521683403E-2"/>
      <name val="Calibri"/>
      <family val="2"/>
      <scheme val="minor"/>
    </font>
  </fonts>
  <fills count="7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F7E1"/>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25"/>
      </patternFill>
    </fill>
    <fill>
      <patternFill patternType="solid">
        <fgColor theme="0" tint="-4.9989318521683403E-2"/>
        <bgColor indexed="26"/>
      </patternFill>
    </fill>
    <fill>
      <patternFill patternType="solid">
        <fgColor theme="8" tint="0.59999389629810485"/>
        <bgColor indexed="56"/>
      </patternFill>
    </fill>
    <fill>
      <patternFill patternType="solid">
        <fgColor theme="8"/>
        <bgColor indexed="56"/>
      </patternFill>
    </fill>
    <fill>
      <patternFill patternType="solid">
        <fgColor theme="4" tint="0.59999389629810485"/>
        <bgColor indexed="25"/>
      </patternFill>
    </fill>
    <fill>
      <patternFill patternType="solid">
        <fgColor theme="9" tint="0.79998168889431442"/>
        <bgColor indexed="64"/>
      </patternFill>
    </fill>
    <fill>
      <patternFill patternType="solid">
        <fgColor theme="0"/>
        <bgColor rgb="FFC0C0C0"/>
      </patternFill>
    </fill>
    <fill>
      <patternFill patternType="solid">
        <fgColor rgb="FFCCCCCC"/>
        <bgColor rgb="FFC0C0C0"/>
      </patternFill>
    </fill>
    <fill>
      <patternFill patternType="solid">
        <fgColor theme="3"/>
        <bgColor indexed="64"/>
      </patternFill>
    </fill>
    <fill>
      <patternFill patternType="solid">
        <fgColor theme="3" tint="0.59999389629810485"/>
        <bgColor indexed="64"/>
      </patternFill>
    </fill>
    <fill>
      <patternFill patternType="solid">
        <fgColor rgb="FF699BFF"/>
        <bgColor indexed="64"/>
      </patternFill>
    </fill>
    <fill>
      <patternFill patternType="solid">
        <fgColor theme="4" tint="0.79998168889431442"/>
        <bgColor indexed="64"/>
      </patternFill>
    </fill>
    <fill>
      <patternFill patternType="solid">
        <fgColor rgb="FF003399"/>
        <bgColor indexed="64"/>
      </patternFill>
    </fill>
    <fill>
      <patternFill patternType="solid">
        <fgColor theme="4" tint="0.39997558519241921"/>
        <bgColor indexed="64"/>
      </patternFill>
    </fill>
    <fill>
      <patternFill patternType="solid">
        <fgColor rgb="FFFF99CC"/>
        <bgColor indexed="64"/>
      </patternFill>
    </fill>
    <fill>
      <patternFill patternType="solid">
        <fgColor theme="5"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99"/>
        <bgColor rgb="FFC0C0C0"/>
      </patternFill>
    </fill>
    <fill>
      <patternFill patternType="solid">
        <fgColor theme="9" tint="0.79998168889431442"/>
        <bgColor rgb="FFC0C0C0"/>
      </patternFill>
    </fill>
    <fill>
      <patternFill patternType="solid">
        <fgColor rgb="FFFFCCCC"/>
        <bgColor indexed="64"/>
      </patternFill>
    </fill>
    <fill>
      <patternFill patternType="darkDown">
        <fgColor theme="0"/>
        <bgColor theme="8" tint="0.59996337778862885"/>
      </patternFill>
    </fill>
    <fill>
      <patternFill patternType="solid">
        <fgColor rgb="FFFFFF00"/>
        <bgColor indexed="64"/>
      </patternFill>
    </fill>
    <fill>
      <patternFill patternType="solid">
        <fgColor theme="1"/>
        <bgColor indexed="64"/>
      </patternFill>
    </fill>
    <fill>
      <patternFill patternType="solid">
        <fgColor indexed="47"/>
        <bgColor indexed="64"/>
      </patternFill>
    </fill>
    <fill>
      <patternFill patternType="solid">
        <fgColor rgb="FFCCCCFF"/>
        <bgColor indexed="64"/>
      </patternFill>
    </fill>
    <fill>
      <patternFill patternType="solid">
        <fgColor indexed="31"/>
        <bgColor indexed="64"/>
      </patternFill>
    </fill>
    <fill>
      <patternFill patternType="solid">
        <fgColor indexed="46"/>
        <bgColor indexed="64"/>
      </patternFill>
    </fill>
    <fill>
      <patternFill patternType="solid">
        <fgColor indexed="22"/>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rgb="FFCCCCFF"/>
        <bgColor indexed="33"/>
      </patternFill>
    </fill>
    <fill>
      <patternFill patternType="solid">
        <fgColor indexed="9"/>
        <bgColor indexed="64"/>
      </patternFill>
    </fill>
    <fill>
      <patternFill patternType="lightUp"/>
    </fill>
    <fill>
      <patternFill patternType="gray0625"/>
    </fill>
    <fill>
      <patternFill patternType="solid">
        <fgColor rgb="FFF0F0FF"/>
        <bgColor indexed="64"/>
      </patternFill>
    </fill>
    <fill>
      <patternFill patternType="solid">
        <fgColor indexed="65"/>
        <bgColor indexed="64"/>
      </patternFill>
    </fill>
    <fill>
      <patternFill patternType="solid">
        <fgColor rgb="FFFF00FF"/>
        <bgColor indexed="64"/>
      </patternFill>
    </fill>
    <fill>
      <patternFill patternType="solid">
        <fgColor indexed="10"/>
        <bgColor indexed="64"/>
      </patternFill>
    </fill>
    <fill>
      <patternFill patternType="lightUp">
        <bgColor theme="0" tint="-0.14999847407452621"/>
      </patternFill>
    </fill>
    <fill>
      <patternFill patternType="solid">
        <fgColor rgb="FFFF33CC"/>
        <bgColor indexed="64"/>
      </patternFill>
    </fill>
    <fill>
      <patternFill patternType="solid">
        <fgColor indexed="11"/>
        <bgColor indexed="64"/>
      </patternFill>
    </fill>
    <fill>
      <patternFill patternType="lightUp">
        <bgColor theme="1"/>
      </patternFill>
    </fill>
    <fill>
      <patternFill patternType="gray0625">
        <bgColor theme="1"/>
      </patternFill>
    </fill>
    <fill>
      <patternFill patternType="lightDown">
        <bgColor theme="1"/>
      </patternFill>
    </fill>
    <fill>
      <patternFill patternType="solid">
        <fgColor theme="1"/>
        <bgColor indexed="33"/>
      </patternFill>
    </fill>
    <fill>
      <patternFill patternType="solid">
        <fgColor theme="8" tint="0.59999389629810485"/>
        <bgColor indexed="64"/>
      </patternFill>
    </fill>
    <fill>
      <patternFill patternType="solid">
        <fgColor rgb="FFD3DEF1"/>
        <bgColor indexed="64"/>
      </patternFill>
    </fill>
    <fill>
      <patternFill patternType="solid">
        <fgColor theme="8" tint="0.79998168889431442"/>
        <bgColor indexed="64"/>
      </patternFill>
    </fill>
    <fill>
      <patternFill patternType="solid">
        <fgColor rgb="FFE5EBF7"/>
        <bgColor indexed="64"/>
      </patternFill>
    </fill>
    <fill>
      <patternFill patternType="solid">
        <fgColor rgb="FF00B0F0"/>
        <bgColor indexed="64"/>
      </patternFill>
    </fill>
    <fill>
      <patternFill patternType="solid">
        <fgColor rgb="FFFFF5E7"/>
        <bgColor indexed="64"/>
      </patternFill>
    </fill>
    <fill>
      <patternFill patternType="solid">
        <fgColor theme="5"/>
        <bgColor indexed="64"/>
      </patternFill>
    </fill>
    <fill>
      <patternFill patternType="solid">
        <fgColor theme="7"/>
        <bgColor indexed="64"/>
      </patternFill>
    </fill>
    <fill>
      <patternFill patternType="solid">
        <fgColor rgb="FF009242"/>
        <bgColor indexed="64"/>
      </patternFill>
    </fill>
    <fill>
      <patternFill patternType="solid">
        <fgColor rgb="FF00D05E"/>
        <bgColor indexed="64"/>
      </patternFill>
    </fill>
    <fill>
      <patternFill patternType="solid">
        <fgColor rgb="FFA2DC44"/>
        <bgColor indexed="64"/>
      </patternFill>
    </fill>
    <fill>
      <patternFill patternType="solid">
        <fgColor theme="2" tint="-9.9978637043366805E-2"/>
        <bgColor rgb="FFC0C0C0"/>
      </patternFill>
    </fill>
    <fill>
      <patternFill patternType="solid">
        <fgColor theme="0" tint="-0.249977111117893"/>
        <bgColor indexed="64"/>
      </patternFill>
    </fill>
    <fill>
      <patternFill patternType="solid">
        <fgColor rgb="FFFFF7E1"/>
        <bgColor rgb="FF000000"/>
      </patternFill>
    </fill>
    <fill>
      <patternFill patternType="solid">
        <fgColor theme="4" tint="0.79998168889431442"/>
        <bgColor theme="4" tint="0.79998168889431442"/>
      </patternFill>
    </fill>
    <fill>
      <patternFill patternType="solid">
        <fgColor theme="4"/>
        <bgColor theme="4"/>
      </patternFill>
    </fill>
  </fills>
  <borders count="461">
    <border>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double">
        <color indexed="64"/>
      </bottom>
      <diagonal/>
    </border>
    <border>
      <left/>
      <right/>
      <top style="thin">
        <color indexed="64"/>
      </top>
      <bottom/>
      <diagonal/>
    </border>
    <border>
      <left/>
      <right style="hair">
        <color indexed="64"/>
      </right>
      <top style="thin">
        <color indexed="64"/>
      </top>
      <bottom/>
      <diagonal/>
    </border>
    <border>
      <left/>
      <right style="hair">
        <color indexed="64"/>
      </right>
      <top/>
      <bottom style="double">
        <color indexed="64"/>
      </bottom>
      <diagonal/>
    </border>
    <border>
      <left style="hair">
        <color indexed="64"/>
      </left>
      <right/>
      <top style="thin">
        <color indexed="64"/>
      </top>
      <bottom/>
      <diagonal/>
    </border>
    <border>
      <left style="hair">
        <color indexed="64"/>
      </left>
      <right/>
      <top/>
      <bottom style="double">
        <color indexed="64"/>
      </bottom>
      <diagonal/>
    </border>
    <border>
      <left style="thin">
        <color indexed="64"/>
      </left>
      <right/>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diagonal/>
    </border>
    <border>
      <left style="thin">
        <color theme="8" tint="0.59999389629810485"/>
      </left>
      <right/>
      <top style="thin">
        <color theme="8" tint="0.59999389629810485"/>
      </top>
      <bottom style="thin">
        <color theme="8" tint="0.59999389629810485"/>
      </bottom>
      <diagonal/>
    </border>
    <border>
      <left style="thin">
        <color theme="8" tint="0.59999389629810485"/>
      </left>
      <right/>
      <top/>
      <bottom/>
      <diagonal/>
    </border>
    <border>
      <left style="thin">
        <color theme="8" tint="0.59999389629810485"/>
      </left>
      <right/>
      <top/>
      <bottom style="thin">
        <color theme="8" tint="0.59999389629810485"/>
      </bottom>
      <diagonal/>
    </border>
    <border>
      <left/>
      <right style="thin">
        <color theme="8" tint="0.59999389629810485"/>
      </right>
      <top/>
      <bottom style="thin">
        <color theme="8" tint="0.59999389629810485"/>
      </bottom>
      <diagonal/>
    </border>
    <border>
      <left style="thin">
        <color theme="8" tint="0.59999389629810485"/>
      </left>
      <right style="thin">
        <color theme="8" tint="0.59999389629810485"/>
      </right>
      <top/>
      <bottom style="thin">
        <color theme="8" tint="0.59999389629810485"/>
      </bottom>
      <diagonal/>
    </border>
    <border>
      <left style="thin">
        <color theme="8" tint="0.59999389629810485"/>
      </left>
      <right/>
      <top style="thin">
        <color theme="8" tint="0.59999389629810485"/>
      </top>
      <bottom/>
      <diagonal/>
    </border>
    <border>
      <left/>
      <right/>
      <top style="thin">
        <color theme="8" tint="0.59999389629810485"/>
      </top>
      <bottom/>
      <diagonal/>
    </border>
    <border>
      <left/>
      <right/>
      <top/>
      <bottom style="thin">
        <color theme="8" tint="0.59999389629810485"/>
      </bottom>
      <diagonal/>
    </border>
    <border>
      <left style="medium">
        <color theme="8" tint="0.59999389629810485"/>
      </left>
      <right/>
      <top style="medium">
        <color theme="8" tint="0.59999389629810485"/>
      </top>
      <bottom/>
      <diagonal/>
    </border>
    <border>
      <left/>
      <right/>
      <top style="medium">
        <color theme="8" tint="0.59999389629810485"/>
      </top>
      <bottom/>
      <diagonal/>
    </border>
    <border>
      <left/>
      <right style="medium">
        <color theme="8" tint="0.59999389629810485"/>
      </right>
      <top style="medium">
        <color theme="8" tint="0.59999389629810485"/>
      </top>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top/>
      <bottom/>
      <diagonal/>
    </border>
    <border>
      <left/>
      <right style="medium">
        <color theme="8" tint="0.59999389629810485"/>
      </right>
      <top/>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right style="medium">
        <color theme="8" tint="0.59999389629810485"/>
      </right>
      <top/>
      <bottom style="medium">
        <color theme="8" tint="0.59999389629810485"/>
      </bottom>
      <diagonal/>
    </border>
    <border>
      <left style="medium">
        <color theme="8" tint="0.59999389629810485"/>
      </left>
      <right/>
      <top style="medium">
        <color theme="8" tint="0.59999389629810485"/>
      </top>
      <bottom style="medium">
        <color theme="8" tint="0.59999389629810485"/>
      </bottom>
      <diagonal/>
    </border>
    <border>
      <left/>
      <right/>
      <top style="medium">
        <color theme="8" tint="0.59999389629810485"/>
      </top>
      <bottom style="medium">
        <color theme="8" tint="0.59999389629810485"/>
      </bottom>
      <diagonal/>
    </border>
    <border>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thin">
        <color theme="8" tint="0.59999389629810485"/>
      </top>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right style="medium">
        <color theme="8" tint="0.59999389629810485"/>
      </right>
      <top style="thin">
        <color theme="8" tint="0.59999389629810485"/>
      </top>
      <bottom/>
      <diagonal/>
    </border>
    <border>
      <left/>
      <right style="medium">
        <color theme="8" tint="0.59999389629810485"/>
      </right>
      <top/>
      <bottom style="thin">
        <color theme="8" tint="0.59999389629810485"/>
      </bottom>
      <diagonal/>
    </border>
    <border>
      <left style="thin">
        <color theme="8" tint="0.59999389629810485"/>
      </left>
      <right style="medium">
        <color theme="8" tint="0.59999389629810485"/>
      </right>
      <top/>
      <bottom style="thin">
        <color theme="8" tint="0.59999389629810485"/>
      </bottom>
      <diagonal/>
    </border>
    <border>
      <left style="medium">
        <color theme="8" tint="0.59999389629810485"/>
      </left>
      <right style="thin">
        <color theme="8" tint="0.59999389629810485"/>
      </right>
      <top/>
      <bottom style="thin">
        <color theme="8" tint="0.59999389629810485"/>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diagonal/>
    </border>
    <border>
      <left/>
      <right style="hair">
        <color indexed="64"/>
      </right>
      <top style="medium">
        <color theme="8" tint="0.59999389629810485"/>
      </top>
      <bottom style="medium">
        <color theme="8" tint="0.59999389629810485"/>
      </bottom>
      <diagonal/>
    </border>
    <border>
      <left style="hair">
        <color indexed="64"/>
      </left>
      <right/>
      <top style="medium">
        <color theme="8" tint="0.59999389629810485"/>
      </top>
      <bottom style="medium">
        <color theme="8" tint="0.59999389629810485"/>
      </bottom>
      <diagonal/>
    </border>
    <border>
      <left style="hair">
        <color indexed="64"/>
      </left>
      <right style="hair">
        <color indexed="64"/>
      </right>
      <top style="medium">
        <color theme="8" tint="0.59999389629810485"/>
      </top>
      <bottom style="medium">
        <color theme="8" tint="0.59999389629810485"/>
      </bottom>
      <diagonal/>
    </border>
    <border>
      <left style="hair">
        <color indexed="64"/>
      </left>
      <right/>
      <top style="medium">
        <color theme="8" tint="0.59999389629810485"/>
      </top>
      <bottom/>
      <diagonal/>
    </border>
    <border>
      <left style="medium">
        <color theme="8" tint="0.59999389629810485"/>
      </left>
      <right/>
      <top/>
      <bottom style="thin">
        <color theme="8" tint="0.59999389629810485"/>
      </bottom>
      <diagonal/>
    </border>
    <border>
      <left/>
      <right style="thin">
        <color theme="8" tint="0.59999389629810485"/>
      </right>
      <top style="thin">
        <color theme="8" tint="0.59999389629810485"/>
      </top>
      <bottom/>
      <diagonal/>
    </border>
    <border>
      <left style="thin">
        <color theme="8" tint="0.59999389629810485"/>
      </left>
      <right/>
      <top style="medium">
        <color theme="8" tint="0.59999389629810485"/>
      </top>
      <bottom style="thin">
        <color theme="8" tint="0.59999389629810485"/>
      </bottom>
      <diagonal/>
    </border>
    <border>
      <left/>
      <right/>
      <top style="medium">
        <color theme="8" tint="0.59999389629810485"/>
      </top>
      <bottom style="thin">
        <color theme="8" tint="0.59999389629810485"/>
      </bottom>
      <diagonal/>
    </border>
    <border>
      <left/>
      <right style="medium">
        <color theme="8" tint="0.59999389629810485"/>
      </right>
      <top style="medium">
        <color theme="8" tint="0.59999389629810485"/>
      </top>
      <bottom style="thin">
        <color theme="8" tint="0.59999389629810485"/>
      </bottom>
      <diagonal/>
    </border>
    <border>
      <left/>
      <right/>
      <top style="thin">
        <color theme="8" tint="0.59999389629810485"/>
      </top>
      <bottom style="thin">
        <color theme="8" tint="0.59999389629810485"/>
      </bottom>
      <diagonal/>
    </border>
    <border>
      <left/>
      <right style="thin">
        <color theme="8" tint="0.59999389629810485"/>
      </right>
      <top style="thin">
        <color theme="8" tint="0.59999389629810485"/>
      </top>
      <bottom style="thin">
        <color theme="8" tint="0.59999389629810485"/>
      </bottom>
      <diagonal/>
    </border>
    <border>
      <left style="medium">
        <color rgb="FFC9D6ED"/>
      </left>
      <right/>
      <top style="thin">
        <color theme="8" tint="0.59999389629810485"/>
      </top>
      <bottom style="thin">
        <color theme="8" tint="0.59999389629810485"/>
      </bottom>
      <diagonal/>
    </border>
    <border>
      <left style="medium">
        <color theme="8" tint="0.59999389629810485"/>
      </left>
      <right/>
      <top style="thin">
        <color theme="8" tint="0.59999389629810485"/>
      </top>
      <bottom style="thin">
        <color theme="8" tint="0.59999389629810485"/>
      </bottom>
      <diagonal/>
    </border>
    <border>
      <left/>
      <right style="medium">
        <color theme="8" tint="0.59999389629810485"/>
      </right>
      <top style="thin">
        <color theme="8" tint="0.59999389629810485"/>
      </top>
      <bottom style="thin">
        <color theme="8" tint="0.59999389629810485"/>
      </bottom>
      <diagonal/>
    </border>
    <border>
      <left style="medium">
        <color theme="8" tint="0.59999389629810485"/>
      </left>
      <right/>
      <top style="medium">
        <color theme="8" tint="0.59999389629810485"/>
      </top>
      <bottom style="thin">
        <color theme="8" tint="0.59999389629810485"/>
      </bottom>
      <diagonal/>
    </border>
    <border>
      <left/>
      <right style="hair">
        <color theme="8" tint="0.59999389629810485"/>
      </right>
      <top/>
      <bottom/>
      <diagonal/>
    </border>
    <border>
      <left style="hair">
        <color theme="8" tint="0.59999389629810485"/>
      </left>
      <right/>
      <top/>
      <bottom/>
      <diagonal/>
    </border>
    <border>
      <left/>
      <right style="thin">
        <color theme="8" tint="0.59999389629810485"/>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8" tint="0.59999389629810485"/>
      </left>
      <right style="medium">
        <color theme="8" tint="0.59999389629810485"/>
      </right>
      <top/>
      <bottom/>
      <diagonal/>
    </border>
    <border>
      <left style="thin">
        <color theme="8"/>
      </left>
      <right style="thin">
        <color theme="8"/>
      </right>
      <top style="thin">
        <color theme="8"/>
      </top>
      <bottom style="thin">
        <color theme="8"/>
      </bottom>
      <diagonal/>
    </border>
    <border>
      <left style="medium">
        <color theme="8"/>
      </left>
      <right style="medium">
        <color theme="8"/>
      </right>
      <top style="medium">
        <color theme="8"/>
      </top>
      <bottom style="medium">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tint="0.59999389629810485"/>
      </left>
      <right/>
      <top style="thin">
        <color theme="8" tint="0.59999389629810485"/>
      </top>
      <bottom/>
      <diagonal/>
    </border>
    <border>
      <left style="medium">
        <color theme="8"/>
      </left>
      <right style="medium">
        <color theme="8"/>
      </right>
      <top style="thin">
        <color theme="8" tint="0.59999389629810485"/>
      </top>
      <bottom style="thin">
        <color theme="8" tint="0.59999389629810485"/>
      </bottom>
      <diagonal/>
    </border>
    <border>
      <left style="medium">
        <color theme="8"/>
      </left>
      <right style="medium">
        <color theme="8"/>
      </right>
      <top style="thin">
        <color theme="8" tint="0.59999389629810485"/>
      </top>
      <bottom/>
      <diagonal/>
    </border>
    <border>
      <left style="medium">
        <color theme="8"/>
      </left>
      <right style="medium">
        <color theme="8"/>
      </right>
      <top/>
      <bottom style="thin">
        <color theme="8" tint="0.59999389629810485"/>
      </bottom>
      <diagonal/>
    </border>
    <border>
      <left style="medium">
        <color theme="8" tint="0.39997558519241921"/>
      </left>
      <right style="medium">
        <color theme="8" tint="0.39997558519241921"/>
      </right>
      <top style="medium">
        <color theme="8" tint="0.39997558519241921"/>
      </top>
      <bottom style="medium">
        <color theme="8" tint="0.39997558519241921"/>
      </bottom>
      <diagonal/>
    </border>
    <border>
      <left/>
      <right/>
      <top style="medium">
        <color theme="8" tint="0.39997558519241921"/>
      </top>
      <bottom style="thin">
        <color theme="8" tint="0.59999389629810485"/>
      </bottom>
      <diagonal/>
    </border>
    <border>
      <left/>
      <right style="medium">
        <color theme="8" tint="0.39997558519241921"/>
      </right>
      <top style="thin">
        <color theme="8" tint="0.59999389629810485"/>
      </top>
      <bottom style="thin">
        <color theme="8" tint="0.59999389629810485"/>
      </bottom>
      <diagonal/>
    </border>
    <border>
      <left style="medium">
        <color theme="8" tint="0.39997558519241921"/>
      </left>
      <right style="thin">
        <color theme="8" tint="0.59999389629810485"/>
      </right>
      <top style="thin">
        <color theme="8" tint="0.59999389629810485"/>
      </top>
      <bottom style="thin">
        <color theme="8" tint="0.59999389629810485"/>
      </bottom>
      <diagonal/>
    </border>
    <border>
      <left style="medium">
        <color theme="8" tint="0.39997558519241921"/>
      </left>
      <right style="medium">
        <color theme="8" tint="0.39997558519241921"/>
      </right>
      <top style="medium">
        <color theme="8" tint="0.39997558519241921"/>
      </top>
      <bottom style="thin">
        <color theme="8" tint="0.59999389629810485"/>
      </bottom>
      <diagonal/>
    </border>
    <border>
      <left style="medium">
        <color theme="8" tint="0.39997558519241921"/>
      </left>
      <right style="medium">
        <color theme="8" tint="0.39997558519241921"/>
      </right>
      <top style="thin">
        <color theme="8" tint="0.59999389629810485"/>
      </top>
      <bottom/>
      <diagonal/>
    </border>
    <border>
      <left style="medium">
        <color theme="8" tint="0.39997558519241921"/>
      </left>
      <right style="medium">
        <color theme="8" tint="0.39997558519241921"/>
      </right>
      <top style="thin">
        <color theme="8" tint="0.59999389629810485"/>
      </top>
      <bottom style="thin">
        <color theme="8" tint="0.59999389629810485"/>
      </bottom>
      <diagonal/>
    </border>
    <border>
      <left style="medium">
        <color theme="8" tint="0.39997558519241921"/>
      </left>
      <right/>
      <top style="medium">
        <color theme="8" tint="0.39997558519241921"/>
      </top>
      <bottom style="medium">
        <color theme="8" tint="0.39997558519241921"/>
      </bottom>
      <diagonal/>
    </border>
    <border>
      <left/>
      <right/>
      <top style="medium">
        <color theme="8" tint="0.39997558519241921"/>
      </top>
      <bottom style="medium">
        <color theme="8" tint="0.39997558519241921"/>
      </bottom>
      <diagonal/>
    </border>
    <border>
      <left/>
      <right style="medium">
        <color theme="8" tint="0.39997558519241921"/>
      </right>
      <top style="medium">
        <color theme="8" tint="0.39997558519241921"/>
      </top>
      <bottom style="medium">
        <color theme="8" tint="0.39997558519241921"/>
      </bottom>
      <diagonal/>
    </border>
    <border>
      <left style="medium">
        <color theme="8" tint="0.39997558519241921"/>
      </left>
      <right style="thin">
        <color theme="8" tint="0.59999389629810485"/>
      </right>
      <top style="medium">
        <color theme="8" tint="0.39997558519241921"/>
      </top>
      <bottom style="thin">
        <color theme="8" tint="0.59999389629810485"/>
      </bottom>
      <diagonal/>
    </border>
    <border>
      <left style="thin">
        <color theme="8" tint="0.59999389629810485"/>
      </left>
      <right style="thin">
        <color theme="8" tint="0.59999389629810485"/>
      </right>
      <top style="medium">
        <color theme="8" tint="0.39997558519241921"/>
      </top>
      <bottom style="thin">
        <color theme="8" tint="0.59999389629810485"/>
      </bottom>
      <diagonal/>
    </border>
    <border>
      <left style="thin">
        <color theme="8" tint="0.59999389629810485"/>
      </left>
      <right/>
      <top style="medium">
        <color theme="8" tint="0.39997558519241921"/>
      </top>
      <bottom style="thin">
        <color theme="8" tint="0.59999389629810485"/>
      </bottom>
      <diagonal/>
    </border>
    <border>
      <left style="medium">
        <color theme="8" tint="0.39997558519241921"/>
      </left>
      <right style="thin">
        <color theme="8" tint="0.59999389629810485"/>
      </right>
      <top style="thin">
        <color theme="8" tint="0.59999389629810485"/>
      </top>
      <bottom/>
      <diagonal/>
    </border>
    <border>
      <left/>
      <right style="thin">
        <color theme="8" tint="0.59999389629810485"/>
      </right>
      <top style="medium">
        <color theme="8" tint="0.39997558519241921"/>
      </top>
      <bottom style="thin">
        <color theme="8" tint="0.59999389629810485"/>
      </bottom>
      <diagonal/>
    </border>
    <border>
      <left/>
      <right/>
      <top style="medium">
        <color theme="8" tint="0.39997558519241921"/>
      </top>
      <bottom/>
      <diagonal/>
    </border>
    <border>
      <left/>
      <right style="medium">
        <color theme="8" tint="0.39997558519241921"/>
      </right>
      <top style="medium">
        <color theme="8" tint="0.39997558519241921"/>
      </top>
      <bottom/>
      <diagonal/>
    </border>
    <border>
      <left style="thin">
        <color theme="8" tint="0.59999389629810485"/>
      </left>
      <right style="medium">
        <color theme="8" tint="0.39997558519241921"/>
      </right>
      <top style="thin">
        <color theme="8" tint="0.59999389629810485"/>
      </top>
      <bottom style="thin">
        <color theme="8" tint="0.59999389629810485"/>
      </bottom>
      <diagonal/>
    </border>
    <border>
      <left style="thin">
        <color theme="8" tint="0.59999389629810485"/>
      </left>
      <right style="medium">
        <color theme="8" tint="0.39997558519241921"/>
      </right>
      <top style="thin">
        <color theme="8" tint="0.59999389629810485"/>
      </top>
      <bottom/>
      <diagonal/>
    </border>
    <border>
      <left style="medium">
        <color theme="8" tint="0.39997558519241921"/>
      </left>
      <right/>
      <top/>
      <bottom/>
      <diagonal/>
    </border>
    <border>
      <left style="medium">
        <color theme="8" tint="0.39997558519241921"/>
      </left>
      <right/>
      <top/>
      <bottom style="medium">
        <color theme="8" tint="0.39997558519241921"/>
      </bottom>
      <diagonal/>
    </border>
    <border>
      <left/>
      <right style="medium">
        <color theme="8" tint="0.39997558519241921"/>
      </right>
      <top/>
      <bottom style="thin">
        <color theme="8" tint="0.59999389629810485"/>
      </bottom>
      <diagonal/>
    </border>
    <border>
      <left/>
      <right/>
      <top/>
      <bottom style="medium">
        <color theme="8" tint="0.39997558519241921"/>
      </bottom>
      <diagonal/>
    </border>
    <border>
      <left/>
      <right style="medium">
        <color theme="8" tint="0.39997558519241921"/>
      </right>
      <top/>
      <bottom style="medium">
        <color theme="8" tint="0.39997558519241921"/>
      </bottom>
      <diagonal/>
    </border>
    <border>
      <left style="thin">
        <color theme="8" tint="0.59999389629810485"/>
      </left>
      <right style="medium">
        <color theme="8" tint="0.39997558519241921"/>
      </right>
      <top style="medium">
        <color theme="8" tint="0.39997558519241921"/>
      </top>
      <bottom style="thin">
        <color theme="8" tint="0.59999389629810485"/>
      </bottom>
      <diagonal/>
    </border>
    <border>
      <left style="medium">
        <color theme="8" tint="0.39997558519241921"/>
      </left>
      <right/>
      <top/>
      <bottom style="thin">
        <color theme="8" tint="0.59999389629810485"/>
      </bottom>
      <diagonal/>
    </border>
    <border>
      <left style="medium">
        <color theme="8" tint="0.39997558519241921"/>
      </left>
      <right/>
      <top style="medium">
        <color theme="8" tint="0.59999389629810485"/>
      </top>
      <bottom style="medium">
        <color theme="8" tint="0.59999389629810485"/>
      </bottom>
      <diagonal/>
    </border>
    <border>
      <left style="hair">
        <color indexed="64"/>
      </left>
      <right style="medium">
        <color theme="8" tint="0.39997558519241921"/>
      </right>
      <top style="medium">
        <color theme="8" tint="0.59999389629810485"/>
      </top>
      <bottom style="medium">
        <color theme="8" tint="0.59999389629810485"/>
      </bottom>
      <diagonal/>
    </border>
    <border>
      <left style="medium">
        <color theme="8" tint="0.39997558519241921"/>
      </left>
      <right style="thin">
        <color theme="8" tint="0.59999389629810485"/>
      </right>
      <top/>
      <bottom style="thin">
        <color theme="8" tint="0.59999389629810485"/>
      </bottom>
      <diagonal/>
    </border>
    <border>
      <left style="thin">
        <color theme="8" tint="0.59999389629810485"/>
      </left>
      <right style="medium">
        <color theme="8" tint="0.39997558519241921"/>
      </right>
      <top/>
      <bottom style="thin">
        <color theme="8" tint="0.59999389629810485"/>
      </bottom>
      <diagonal/>
    </border>
    <border>
      <left style="medium">
        <color theme="8" tint="0.39997558519241921"/>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39997558519241921"/>
      </right>
      <top style="medium">
        <color theme="8" tint="0.59999389629810485"/>
      </top>
      <bottom style="medium">
        <color theme="8" tint="0.59999389629810485"/>
      </bottom>
      <diagonal/>
    </border>
    <border>
      <left/>
      <right style="medium">
        <color theme="8" tint="0.39997558519241921"/>
      </right>
      <top/>
      <bottom/>
      <diagonal/>
    </border>
    <border>
      <left/>
      <right style="medium">
        <color theme="8" tint="0.39997558519241921"/>
      </right>
      <top style="medium">
        <color theme="8" tint="0.59999389629810485"/>
      </top>
      <bottom style="medium">
        <color theme="8" tint="0.59999389629810485"/>
      </bottom>
      <diagonal/>
    </border>
    <border>
      <left/>
      <right style="hair">
        <color indexed="64"/>
      </right>
      <top/>
      <bottom style="medium">
        <color theme="8" tint="0.39997558519241921"/>
      </bottom>
      <diagonal/>
    </border>
    <border>
      <left style="medium">
        <color theme="8" tint="0.39997558519241921"/>
      </left>
      <right/>
      <top style="medium">
        <color theme="8" tint="0.39997558519241921"/>
      </top>
      <bottom style="medium">
        <color theme="8" tint="0.59999389629810485"/>
      </bottom>
      <diagonal/>
    </border>
    <border>
      <left/>
      <right/>
      <top style="medium">
        <color theme="8" tint="0.39997558519241921"/>
      </top>
      <bottom style="medium">
        <color theme="8" tint="0.59999389629810485"/>
      </bottom>
      <diagonal/>
    </border>
    <border>
      <left style="medium">
        <color theme="8" tint="0.39997558519241921"/>
      </left>
      <right/>
      <top style="medium">
        <color theme="8" tint="0.59999389629810485"/>
      </top>
      <bottom/>
      <diagonal/>
    </border>
    <border>
      <left/>
      <right style="medium">
        <color theme="8" tint="0.39997558519241921"/>
      </right>
      <top style="medium">
        <color theme="8" tint="0.59999389629810485"/>
      </top>
      <bottom/>
      <diagonal/>
    </border>
    <border>
      <left style="medium">
        <color theme="8" tint="0.39997558519241921"/>
      </left>
      <right/>
      <top/>
      <bottom style="medium">
        <color theme="8" tint="0.59999389629810485"/>
      </bottom>
      <diagonal/>
    </border>
    <border>
      <left style="medium">
        <color theme="8" tint="0.59999389629810485"/>
      </left>
      <right/>
      <top/>
      <bottom style="medium">
        <color theme="8" tint="0.39997558519241921"/>
      </bottom>
      <diagonal/>
    </border>
    <border>
      <left/>
      <right style="hair">
        <color theme="8" tint="0.59999389629810485"/>
      </right>
      <top/>
      <bottom style="medium">
        <color theme="8" tint="0.39997558519241921"/>
      </bottom>
      <diagonal/>
    </border>
    <border>
      <left style="hair">
        <color theme="8" tint="0.59999389629810485"/>
      </left>
      <right/>
      <top/>
      <bottom style="medium">
        <color theme="8" tint="0.3999755851924192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right/>
      <top/>
      <bottom style="hair">
        <color auto="1"/>
      </bottom>
      <diagonal/>
    </border>
    <border>
      <left style="thin">
        <color theme="8" tint="0.59999389629810485"/>
      </left>
      <right style="thin">
        <color theme="8" tint="0.59999389629810485"/>
      </right>
      <top/>
      <bottom/>
      <diagonal/>
    </border>
    <border>
      <left style="medium">
        <color theme="8" tint="0.59999389629810485"/>
      </left>
      <right style="thin">
        <color theme="8" tint="0.59999389629810485"/>
      </right>
      <top/>
      <bottom/>
      <diagonal/>
    </border>
    <border>
      <left style="medium">
        <color rgb="FFC9D6ED"/>
      </left>
      <right/>
      <top style="thin">
        <color theme="8" tint="0.59999389629810485"/>
      </top>
      <bottom/>
      <diagonal/>
    </border>
    <border>
      <left style="medium">
        <color theme="8" tint="0.59999389629810485"/>
      </left>
      <right/>
      <top style="medium">
        <color theme="8" tint="0.39997558519241921"/>
      </top>
      <bottom/>
      <diagonal/>
    </border>
    <border>
      <left/>
      <right style="medium">
        <color theme="8" tint="0.59999389629810485"/>
      </right>
      <top style="medium">
        <color theme="8" tint="0.39997558519241921"/>
      </top>
      <bottom/>
      <diagonal/>
    </border>
    <border>
      <left/>
      <right style="medium">
        <color theme="8" tint="0.59999389629810485"/>
      </right>
      <top/>
      <bottom style="medium">
        <color theme="8" tint="0.39997558519241921"/>
      </bottom>
      <diagonal/>
    </border>
    <border>
      <left style="medium">
        <color theme="8" tint="0.59999389629810485"/>
      </left>
      <right/>
      <top style="medium">
        <color theme="8" tint="0.39997558519241921"/>
      </top>
      <bottom style="thin">
        <color theme="8" tint="0.59999389629810485"/>
      </bottom>
      <diagonal/>
    </border>
    <border>
      <left/>
      <right style="medium">
        <color theme="8" tint="0.59999389629810485"/>
      </right>
      <top style="medium">
        <color theme="8" tint="0.39997558519241921"/>
      </top>
      <bottom style="thin">
        <color theme="8" tint="0.59999389629810485"/>
      </bottom>
      <diagonal/>
    </border>
    <border>
      <left/>
      <right style="medium">
        <color theme="8" tint="0.59999389629810485"/>
      </right>
      <top style="medium">
        <color theme="8" tint="0.39997558519241921"/>
      </top>
      <bottom style="medium">
        <color theme="8" tint="0.39997558519241921"/>
      </bottom>
      <diagonal/>
    </border>
    <border>
      <left/>
      <right style="thin">
        <color theme="8" tint="0.59999389629810485"/>
      </right>
      <top/>
      <bottom style="medium">
        <color theme="8" tint="0.59999389629810485"/>
      </bottom>
      <diagonal/>
    </border>
    <border>
      <left style="thin">
        <color theme="8" tint="0.59999389629810485"/>
      </left>
      <right style="thin">
        <color theme="8" tint="0.59999389629810485"/>
      </right>
      <top/>
      <bottom style="medium">
        <color theme="8" tint="0.59999389629810485"/>
      </bottom>
      <diagonal/>
    </border>
    <border>
      <left style="thin">
        <color theme="8" tint="0.59999389629810485"/>
      </left>
      <right style="medium">
        <color theme="8" tint="0.59999389629810485"/>
      </right>
      <top/>
      <bottom style="medium">
        <color theme="8" tint="0.59999389629810485"/>
      </bottom>
      <diagonal/>
    </border>
    <border>
      <left style="thin">
        <color theme="8" tint="0.59999389629810485"/>
      </left>
      <right style="thin">
        <color theme="8" tint="0.59999389629810485"/>
      </right>
      <top style="medium">
        <color theme="8" tint="0.59999389629810485"/>
      </top>
      <bottom/>
      <diagonal/>
    </border>
    <border>
      <left style="thin">
        <color theme="8" tint="0.59999389629810485"/>
      </left>
      <right style="medium">
        <color theme="8" tint="0.59999389629810485"/>
      </right>
      <top style="medium">
        <color theme="8" tint="0.59999389629810485"/>
      </top>
      <bottom/>
      <diagonal/>
    </border>
    <border>
      <left/>
      <right style="medium">
        <color theme="8" tint="0.39997558519241921"/>
      </right>
      <top/>
      <bottom style="thin">
        <color theme="8"/>
      </bottom>
      <diagonal/>
    </border>
    <border>
      <left/>
      <right style="medium">
        <color theme="8" tint="0.39997558519241921"/>
      </right>
      <top style="thin">
        <color theme="8"/>
      </top>
      <bottom/>
      <diagonal/>
    </border>
    <border>
      <left/>
      <right style="medium">
        <color theme="8" tint="0.39997558519241921"/>
      </right>
      <top/>
      <bottom style="medium">
        <color theme="8" tint="0.59999389629810485"/>
      </bottom>
      <diagonal/>
    </border>
    <border>
      <left style="medium">
        <color theme="8" tint="0.39997558519241921"/>
      </left>
      <right style="medium">
        <color theme="8" tint="0.39997558519241921"/>
      </right>
      <top/>
      <bottom style="medium">
        <color theme="8" tint="0.59999389629810485"/>
      </bottom>
      <diagonal/>
    </border>
    <border>
      <left style="thin">
        <color theme="8" tint="0.59999389629810485"/>
      </left>
      <right style="medium">
        <color theme="8" tint="0.39997558519241921"/>
      </right>
      <top style="thin">
        <color theme="8"/>
      </top>
      <bottom style="thin">
        <color theme="8"/>
      </bottom>
      <diagonal/>
    </border>
    <border>
      <left style="thin">
        <color theme="8" tint="0.59999389629810485"/>
      </left>
      <right style="thin">
        <color theme="8" tint="0.59999389629810485"/>
      </right>
      <top style="thin">
        <color theme="8" tint="0.59999389629810485"/>
      </top>
      <bottom style="thin">
        <color theme="8"/>
      </bottom>
      <diagonal/>
    </border>
    <border>
      <left style="thin">
        <color theme="8" tint="0.59999389629810485"/>
      </left>
      <right style="thin">
        <color theme="8" tint="0.59999389629810485"/>
      </right>
      <top style="thin">
        <color theme="8"/>
      </top>
      <bottom style="thin">
        <color theme="8"/>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bottom style="hair">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style="hair">
        <color auto="1"/>
      </right>
      <top style="hair">
        <color auto="1"/>
      </top>
      <bottom style="hair">
        <color auto="1"/>
      </bottom>
      <diagonal/>
    </border>
    <border>
      <left style="hair">
        <color auto="1"/>
      </left>
      <right style="dotted">
        <color auto="1"/>
      </right>
      <top style="hair">
        <color auto="1"/>
      </top>
      <bottom style="hair">
        <color auto="1"/>
      </bottom>
      <diagonal/>
    </border>
    <border>
      <left style="hair">
        <color auto="1"/>
      </left>
      <right style="dotted">
        <color auto="1"/>
      </right>
      <top style="hair">
        <color auto="1"/>
      </top>
      <bottom/>
      <diagonal/>
    </border>
    <border>
      <left style="hair">
        <color auto="1"/>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top/>
      <bottom/>
      <diagonal/>
    </border>
    <border>
      <left style="medium">
        <color theme="8" tint="0.39997558519241921"/>
      </left>
      <right/>
      <top style="thin">
        <color theme="8" tint="0.59999389629810485"/>
      </top>
      <bottom style="thin">
        <color theme="8" tint="0.5999938962981048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uble">
        <color indexed="10"/>
      </top>
      <bottom style="double">
        <color indexed="10"/>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diagonal/>
    </border>
    <border>
      <left style="thick">
        <color indexed="64"/>
      </left>
      <right/>
      <top style="thin">
        <color indexed="64"/>
      </top>
      <bottom style="thin">
        <color indexed="64"/>
      </bottom>
      <diagonal/>
    </border>
    <border>
      <left style="thick">
        <color indexed="64"/>
      </left>
      <right style="thick">
        <color indexed="64"/>
      </right>
      <top style="double">
        <color indexed="10"/>
      </top>
      <bottom style="double">
        <color indexed="10"/>
      </bottom>
      <diagonal/>
    </border>
    <border>
      <left style="double">
        <color indexed="10"/>
      </left>
      <right style="double">
        <color indexed="10"/>
      </right>
      <top style="double">
        <color indexed="10"/>
      </top>
      <bottom style="double">
        <color indexed="10"/>
      </bottom>
      <diagonal/>
    </border>
    <border>
      <left style="thin">
        <color indexed="64"/>
      </left>
      <right style="thin">
        <color indexed="64"/>
      </right>
      <top/>
      <bottom style="thin">
        <color indexed="64"/>
      </bottom>
      <diagonal/>
    </border>
    <border>
      <left style="thick">
        <color indexed="64"/>
      </left>
      <right/>
      <top style="thin">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medium">
        <color indexed="64"/>
      </left>
      <right style="thick">
        <color indexed="64"/>
      </right>
      <top/>
      <bottom/>
      <diagonal/>
    </border>
    <border>
      <left/>
      <right style="thick">
        <color indexed="64"/>
      </right>
      <top/>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ck">
        <color indexed="64"/>
      </bottom>
      <diagonal/>
    </border>
    <border>
      <left/>
      <right style="thick">
        <color indexed="64"/>
      </right>
      <top style="thin">
        <color indexed="64"/>
      </top>
      <bottom style="thick">
        <color indexed="64"/>
      </bottom>
      <diagonal/>
    </border>
    <border>
      <left/>
      <right style="thick">
        <color indexed="64"/>
      </right>
      <top style="double">
        <color indexed="10"/>
      </top>
      <bottom style="double">
        <color indexed="10"/>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diagonal/>
    </border>
    <border>
      <left style="medium">
        <color indexed="64"/>
      </left>
      <right style="thick">
        <color indexed="64"/>
      </right>
      <top/>
      <bottom style="thick">
        <color indexed="64"/>
      </bottom>
      <diagonal/>
    </border>
    <border>
      <left/>
      <right style="thin">
        <color indexed="64"/>
      </right>
      <top style="thin">
        <color indexed="64"/>
      </top>
      <bottom style="thick">
        <color indexed="64"/>
      </bottom>
      <diagonal/>
    </border>
    <border>
      <left style="thick">
        <color indexed="64"/>
      </left>
      <right style="double">
        <color indexed="10"/>
      </right>
      <top style="double">
        <color indexed="10"/>
      </top>
      <bottom style="double">
        <color indexed="10"/>
      </bottom>
      <diagonal/>
    </border>
    <border>
      <left/>
      <right style="thick">
        <color indexed="64"/>
      </right>
      <top/>
      <bottom style="thin">
        <color indexed="64"/>
      </bottom>
      <diagonal/>
    </border>
    <border>
      <left/>
      <right/>
      <top style="thick">
        <color indexed="64"/>
      </top>
      <bottom/>
      <diagonal/>
    </border>
    <border>
      <left style="medium">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style="thick">
        <color indexed="64"/>
      </right>
      <top style="medium">
        <color indexed="64"/>
      </top>
      <bottom style="thin">
        <color indexed="64"/>
      </bottom>
      <diagonal/>
    </border>
    <border>
      <left style="thin">
        <color indexed="64"/>
      </left>
      <right/>
      <top style="thick">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style="thin">
        <color indexed="64"/>
      </left>
      <right style="thick">
        <color indexed="64"/>
      </right>
      <top style="thin">
        <color indexed="64"/>
      </top>
      <bottom/>
      <diagonal/>
    </border>
    <border>
      <left style="thick">
        <color indexed="64"/>
      </left>
      <right style="thin">
        <color indexed="64"/>
      </right>
      <top/>
      <bottom/>
      <diagonal/>
    </border>
    <border>
      <left style="thick">
        <color indexed="64"/>
      </left>
      <right style="thick">
        <color indexed="64"/>
      </right>
      <top style="thin">
        <color indexed="64"/>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diagonal/>
    </border>
    <border>
      <left/>
      <right style="thin">
        <color theme="8" tint="0.59999389629810485"/>
      </right>
      <top style="medium">
        <color theme="8" tint="0.59999389629810485"/>
      </top>
      <bottom style="thin">
        <color theme="8" tint="0.59999389629810485"/>
      </bottom>
      <diagonal/>
    </border>
    <border>
      <left style="thin">
        <color theme="8" tint="0.59999389629810485"/>
      </left>
      <right/>
      <top style="medium">
        <color theme="8" tint="0.39997558519241921"/>
      </top>
      <bottom style="medium">
        <color theme="8" tint="0.59999389629810485"/>
      </bottom>
      <diagonal/>
    </border>
    <border>
      <left/>
      <right style="medium">
        <color theme="8" tint="0.59999389629810485"/>
      </right>
      <top style="medium">
        <color theme="8" tint="0.39997558519241921"/>
      </top>
      <bottom style="medium">
        <color theme="8" tint="0.59999389629810485"/>
      </bottom>
      <diagonal/>
    </border>
    <border>
      <left/>
      <right style="thin">
        <color theme="8" tint="0.59999389629810485"/>
      </right>
      <top style="medium">
        <color theme="8" tint="0.39997558519241921"/>
      </top>
      <bottom style="medium">
        <color theme="8" tint="0.59999389629810485"/>
      </bottom>
      <diagonal/>
    </border>
    <border>
      <left style="medium">
        <color theme="8" tint="0.59999389629810485"/>
      </left>
      <right/>
      <top style="thin">
        <color theme="8" tint="0.59999389629810485"/>
      </top>
      <bottom style="medium">
        <color theme="8" tint="0.59999389629810485"/>
      </bottom>
      <diagonal/>
    </border>
    <border>
      <left/>
      <right/>
      <top style="thin">
        <color theme="8" tint="0.59999389629810485"/>
      </top>
      <bottom style="medium">
        <color theme="8" tint="0.59999389629810485"/>
      </bottom>
      <diagonal/>
    </border>
    <border>
      <left/>
      <right style="thin">
        <color theme="8" tint="0.59999389629810485"/>
      </right>
      <top style="thin">
        <color theme="8" tint="0.59999389629810485"/>
      </top>
      <bottom style="medium">
        <color theme="8" tint="0.59999389629810485"/>
      </bottom>
      <diagonal/>
    </border>
    <border>
      <left style="thin">
        <color theme="8" tint="0.59999389629810485"/>
      </left>
      <right/>
      <top style="thin">
        <color theme="8" tint="0.59999389629810485"/>
      </top>
      <bottom style="medium">
        <color theme="8" tint="0.59999389629810485"/>
      </bottom>
      <diagonal/>
    </border>
    <border>
      <left/>
      <right style="medium">
        <color theme="8" tint="0.59999389629810485"/>
      </right>
      <top style="thin">
        <color theme="8" tint="0.59999389629810485"/>
      </top>
      <bottom style="medium">
        <color theme="8" tint="0.59999389629810485"/>
      </bottom>
      <diagonal/>
    </border>
    <border>
      <left style="thin">
        <color theme="8" tint="0.59999389629810485"/>
      </left>
      <right/>
      <top style="medium">
        <color theme="8" tint="0.59999389629810485"/>
      </top>
      <bottom style="medium">
        <color theme="8" tint="0.59999389629810485"/>
      </bottom>
      <diagonal/>
    </border>
    <border>
      <left/>
      <right style="thin">
        <color theme="8" tint="0.59999389629810485"/>
      </right>
      <top style="medium">
        <color theme="8" tint="0.59999389629810485"/>
      </top>
      <bottom style="medium">
        <color theme="8" tint="0.59999389629810485"/>
      </bottom>
      <diagonal/>
    </border>
    <border>
      <left/>
      <right style="medium">
        <color theme="8"/>
      </right>
      <top style="thin">
        <color theme="8" tint="0.59999389629810485"/>
      </top>
      <bottom style="thin">
        <color theme="8" tint="0.59999389629810485"/>
      </bottom>
      <diagonal/>
    </border>
    <border>
      <left style="thin">
        <color theme="8" tint="0.59999389629810485"/>
      </left>
      <right/>
      <top style="thin">
        <color theme="8" tint="0.59999389629810485"/>
      </top>
      <bottom style="medium">
        <color theme="8"/>
      </bottom>
      <diagonal/>
    </border>
    <border>
      <left/>
      <right/>
      <top style="thin">
        <color theme="8" tint="0.59999389629810485"/>
      </top>
      <bottom style="medium">
        <color theme="8"/>
      </bottom>
      <diagonal/>
    </border>
    <border>
      <left/>
      <right style="medium">
        <color theme="8"/>
      </right>
      <top style="thin">
        <color theme="8" tint="0.59999389629810485"/>
      </top>
      <bottom style="medium">
        <color theme="8"/>
      </bottom>
      <diagonal/>
    </border>
    <border>
      <left style="medium">
        <color theme="8"/>
      </left>
      <right/>
      <top style="medium">
        <color theme="8" tint="0.59999389629810485"/>
      </top>
      <bottom style="medium">
        <color theme="8" tint="0.59999389629810485"/>
      </bottom>
      <diagonal/>
    </border>
    <border>
      <left/>
      <right style="medium">
        <color rgb="FFC9D6ED"/>
      </right>
      <top style="thin">
        <color theme="8" tint="0.59999389629810485"/>
      </top>
      <bottom style="thin">
        <color theme="8" tint="0.59999389629810485"/>
      </bottom>
      <diagonal/>
    </border>
    <border>
      <left style="medium">
        <color theme="8" tint="0.59999389629810485"/>
      </left>
      <right/>
      <top style="thin">
        <color theme="8" tint="0.59999389629810485"/>
      </top>
      <bottom style="medium">
        <color theme="8" tint="0.39997558519241921"/>
      </bottom>
      <diagonal/>
    </border>
    <border>
      <left/>
      <right/>
      <top style="thin">
        <color theme="8" tint="0.59999389629810485"/>
      </top>
      <bottom style="medium">
        <color theme="8" tint="0.39997558519241921"/>
      </bottom>
      <diagonal/>
    </border>
    <border>
      <left/>
      <right style="thin">
        <color theme="8" tint="0.59999389629810485"/>
      </right>
      <top style="thin">
        <color theme="8" tint="0.59999389629810485"/>
      </top>
      <bottom style="medium">
        <color theme="8"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59999389629810485"/>
      </right>
      <top style="thin">
        <color theme="8" tint="0.39997558519241921"/>
      </top>
      <bottom/>
      <diagonal/>
    </border>
    <border>
      <left style="thin">
        <color theme="8" tint="0.59999389629810485"/>
      </left>
      <right style="thin">
        <color theme="8" tint="0.59999389629810485"/>
      </right>
      <top style="thin">
        <color theme="8" tint="0.39997558519241921"/>
      </top>
      <bottom/>
      <diagonal/>
    </border>
    <border>
      <left style="thin">
        <color theme="8" tint="0.59999389629810485"/>
      </left>
      <right style="thin">
        <color theme="8" tint="0.39997558519241921"/>
      </right>
      <top style="thin">
        <color theme="8" tint="0.59999389629810485"/>
      </top>
      <bottom/>
      <diagonal/>
    </border>
    <border>
      <left style="thin">
        <color theme="8" tint="0.39997558519241921"/>
      </left>
      <right style="thin">
        <color indexed="64"/>
      </right>
      <top/>
      <bottom/>
      <diagonal/>
    </border>
    <border>
      <left style="thin">
        <color theme="8" tint="0.59999389629810485"/>
      </left>
      <right style="thin">
        <color theme="8" tint="0.39997558519241921"/>
      </right>
      <top/>
      <bottom style="thin">
        <color theme="8" tint="0.59999389629810485"/>
      </bottom>
      <diagonal/>
    </border>
    <border>
      <left style="thin">
        <color theme="8" tint="0.59999389629810485"/>
      </left>
      <right style="thin">
        <color theme="8" tint="0.39997558519241921"/>
      </right>
      <top style="thin">
        <color theme="8" tint="0.39997558519241921"/>
      </top>
      <bottom/>
      <diagonal/>
    </border>
    <border>
      <left style="thin">
        <color theme="8" tint="0.39997558519241921"/>
      </left>
      <right style="thin">
        <color theme="8" tint="0.59999389629810485"/>
      </right>
      <top style="thin">
        <color theme="8" tint="0.39997558519241921"/>
      </top>
      <bottom style="thin">
        <color theme="8" tint="0.39997558519241921"/>
      </bottom>
      <diagonal/>
    </border>
    <border>
      <left style="thin">
        <color theme="8" tint="0.59999389629810485"/>
      </left>
      <right style="thin">
        <color theme="8" tint="0.59999389629810485"/>
      </right>
      <top style="thin">
        <color theme="8" tint="0.39997558519241921"/>
      </top>
      <bottom style="thin">
        <color theme="8" tint="0.39997558519241921"/>
      </bottom>
      <diagonal/>
    </border>
    <border>
      <left style="thin">
        <color theme="8" tint="0.59999389629810485"/>
      </left>
      <right style="thin">
        <color theme="8" tint="0.39997558519241921"/>
      </right>
      <top style="thin">
        <color theme="8" tint="0.39997558519241921"/>
      </top>
      <bottom style="thin">
        <color theme="8" tint="0.39997558519241921"/>
      </bottom>
      <diagonal/>
    </border>
    <border>
      <left/>
      <right style="thin">
        <color theme="8" tint="0.59999389629810485"/>
      </right>
      <top/>
      <bottom style="thin">
        <color theme="8" tint="0.39997558519241921"/>
      </bottom>
      <diagonal/>
    </border>
    <border>
      <left style="thin">
        <color theme="8" tint="0.59999389629810485"/>
      </left>
      <right style="thin">
        <color theme="8" tint="0.39997558519241921"/>
      </right>
      <top/>
      <bottom style="thin">
        <color theme="8" tint="0.39997558519241921"/>
      </bottom>
      <diagonal/>
    </border>
    <border>
      <left style="thin">
        <color theme="8" tint="0.39997558519241921"/>
      </left>
      <right style="thin">
        <color indexed="64"/>
      </right>
      <top style="thin">
        <color theme="8" tint="0.39997558519241921"/>
      </top>
      <bottom style="thin">
        <color theme="8" tint="0.39997558519241921"/>
      </bottom>
      <diagonal/>
    </border>
    <border>
      <left style="thin">
        <color indexed="64"/>
      </left>
      <right style="thin">
        <color indexed="64"/>
      </right>
      <top style="thin">
        <color theme="8" tint="0.39997558519241921"/>
      </top>
      <bottom style="thin">
        <color theme="8" tint="0.39997558519241921"/>
      </bottom>
      <diagonal/>
    </border>
    <border>
      <left style="thin">
        <color indexed="64"/>
      </left>
      <right style="thin">
        <color theme="8" tint="0.39997558519241921"/>
      </right>
      <top style="thin">
        <color theme="8" tint="0.39997558519241921"/>
      </top>
      <bottom style="thin">
        <color theme="8" tint="0.39997558519241921"/>
      </bottom>
      <diagonal/>
    </border>
    <border>
      <left style="thin">
        <color indexed="64"/>
      </left>
      <right style="thin">
        <color theme="8" tint="0.39997558519241921"/>
      </right>
      <top/>
      <bottom/>
      <diagonal/>
    </border>
    <border>
      <left style="thin">
        <color theme="8" tint="0.39997558519241921"/>
      </left>
      <right style="thin">
        <color indexed="64"/>
      </right>
      <top style="thin">
        <color theme="8" tint="0.39997558519241921"/>
      </top>
      <bottom/>
      <diagonal/>
    </border>
    <border>
      <left style="thin">
        <color indexed="64"/>
      </left>
      <right style="thin">
        <color indexed="64"/>
      </right>
      <top style="thin">
        <color theme="8" tint="0.39997558519241921"/>
      </top>
      <bottom/>
      <diagonal/>
    </border>
    <border>
      <left style="thin">
        <color indexed="64"/>
      </left>
      <right style="thin">
        <color theme="8" tint="0.39997558519241921"/>
      </right>
      <top style="thin">
        <color theme="8" tint="0.39997558519241921"/>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right style="hair">
        <color indexed="64"/>
      </right>
      <top style="thin">
        <color theme="8" tint="0.59999389629810485"/>
      </top>
      <bottom style="thin">
        <color theme="8" tint="0.59999389629810485"/>
      </bottom>
      <diagonal/>
    </border>
    <border>
      <left style="medium">
        <color theme="8" tint="0.39997558519241921"/>
      </left>
      <right/>
      <top style="thin">
        <color theme="8" tint="0.59999389629810485"/>
      </top>
      <bottom style="medium">
        <color theme="8" tint="0.39997558519241921"/>
      </bottom>
      <diagonal/>
    </border>
    <border>
      <left style="hair">
        <color indexed="64"/>
      </left>
      <right style="hair">
        <color indexed="64"/>
      </right>
      <top style="hair">
        <color indexed="64"/>
      </top>
      <bottom style="medium">
        <color theme="8" tint="0.39997558519241921"/>
      </bottom>
      <diagonal/>
    </border>
    <border>
      <left/>
      <right style="hair">
        <color indexed="64"/>
      </right>
      <top style="thin">
        <color theme="8" tint="0.59999389629810485"/>
      </top>
      <bottom style="medium">
        <color theme="8" tint="0.39997558519241921"/>
      </bottom>
      <diagonal/>
    </border>
    <border>
      <left/>
      <right/>
      <top style="hair">
        <color theme="8" tint="0.39997558519241921"/>
      </top>
      <bottom style="hair">
        <color theme="8" tint="0.39997558519241921"/>
      </bottom>
      <diagonal/>
    </border>
    <border>
      <left/>
      <right style="thin">
        <color indexed="64"/>
      </right>
      <top style="thin">
        <color indexed="64"/>
      </top>
      <bottom style="hair">
        <color theme="8" tint="0.39997558519241921"/>
      </bottom>
      <diagonal/>
    </border>
    <border>
      <left/>
      <right/>
      <top style="thin">
        <color indexed="64"/>
      </top>
      <bottom style="hair">
        <color theme="8" tint="0.39997558519241921"/>
      </bottom>
      <diagonal/>
    </border>
    <border>
      <left/>
      <right style="thin">
        <color indexed="64"/>
      </right>
      <top style="hair">
        <color theme="8" tint="0.39997558519241921"/>
      </top>
      <bottom style="hair">
        <color theme="8" tint="0.39997558519241921"/>
      </bottom>
      <diagonal/>
    </border>
    <border>
      <left style="thin">
        <color indexed="64"/>
      </left>
      <right/>
      <top style="thin">
        <color indexed="64"/>
      </top>
      <bottom style="hair">
        <color theme="8" tint="0.39997558519241921"/>
      </bottom>
      <diagonal/>
    </border>
    <border>
      <left style="thin">
        <color indexed="64"/>
      </left>
      <right/>
      <top style="hair">
        <color theme="8" tint="0.39997558519241921"/>
      </top>
      <bottom style="hair">
        <color theme="8" tint="0.39997558519241921"/>
      </bottom>
      <diagonal/>
    </border>
    <border>
      <left style="thin">
        <color theme="8" tint="0.59999389629810485"/>
      </left>
      <right style="thin">
        <color theme="8" tint="0.39997558519241921"/>
      </right>
      <top/>
      <bottom/>
      <diagonal/>
    </border>
    <border>
      <left style="thin">
        <color theme="8" tint="0.39997558519241921"/>
      </left>
      <right/>
      <top style="hair">
        <color theme="8" tint="0.39997558519241921"/>
      </top>
      <bottom style="thin">
        <color theme="8" tint="0.39997558519241921"/>
      </bottom>
      <diagonal/>
    </border>
    <border>
      <left/>
      <right/>
      <top style="hair">
        <color theme="8" tint="0.39997558519241921"/>
      </top>
      <bottom style="thin">
        <color theme="8" tint="0.39997558519241921"/>
      </bottom>
      <diagonal/>
    </border>
    <border>
      <left/>
      <right style="thin">
        <color theme="8" tint="0.39997558519241921"/>
      </right>
      <top style="hair">
        <color theme="8" tint="0.39997558519241921"/>
      </top>
      <bottom style="thin">
        <color theme="8" tint="0.39997558519241921"/>
      </bottom>
      <diagonal/>
    </border>
    <border>
      <left style="hair">
        <color indexed="64"/>
      </left>
      <right/>
      <top style="hair">
        <color theme="8" tint="0.39997558519241921"/>
      </top>
      <bottom style="hair">
        <color theme="8" tint="0.39997558519241921"/>
      </bottom>
      <diagonal/>
    </border>
    <border>
      <left/>
      <right style="medium">
        <color theme="8" tint="0.39997558519241921"/>
      </right>
      <top style="hair">
        <color theme="8" tint="0.39997558519241921"/>
      </top>
      <bottom style="hair">
        <color theme="8" tint="0.39997558519241921"/>
      </bottom>
      <diagonal/>
    </border>
    <border>
      <left/>
      <right style="thin">
        <color theme="0"/>
      </right>
      <top/>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style="hair">
        <color indexed="64"/>
      </left>
      <right/>
      <top style="hair">
        <color indexed="64"/>
      </top>
      <bottom style="medium">
        <color theme="8" tint="0.59999389629810485"/>
      </bottom>
      <diagonal/>
    </border>
    <border>
      <left/>
      <right style="thin">
        <color theme="8" tint="0.59999389629810485"/>
      </right>
      <top style="medium">
        <color theme="8" tint="0.59999389629810485"/>
      </top>
      <bottom/>
      <diagonal/>
    </border>
    <border>
      <left style="thin">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top style="medium">
        <color theme="8" tint="0.59999389629810485"/>
      </top>
      <bottom/>
      <diagonal/>
    </border>
    <border>
      <left style="thin">
        <color theme="8" tint="0.59999389629810485"/>
      </left>
      <right/>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style="medium">
        <color theme="8" tint="0.59999389629810485"/>
      </left>
      <right style="thin">
        <color theme="8" tint="0.59999389629810485"/>
      </right>
      <top/>
      <bottom style="medium">
        <color theme="8" tint="0.59999389629810485"/>
      </bottom>
      <diagonal/>
    </border>
    <border>
      <left style="medium">
        <color theme="8" tint="0.39997558519241921"/>
      </left>
      <right/>
      <top style="medium">
        <color theme="8" tint="0.39997558519241921"/>
      </top>
      <bottom/>
      <diagonal/>
    </border>
    <border>
      <left/>
      <right style="hair">
        <color indexed="64"/>
      </right>
      <top/>
      <bottom style="thin">
        <color theme="8" tint="0.59999389629810485"/>
      </bottom>
      <diagonal/>
    </border>
    <border>
      <left style="medium">
        <color theme="8" tint="0.59999389629810485"/>
      </left>
      <right style="hair">
        <color indexed="64"/>
      </right>
      <top style="medium">
        <color theme="8" tint="0.59999389629810485"/>
      </top>
      <bottom style="medium">
        <color theme="8" tint="0.59999389629810485"/>
      </bottom>
      <diagonal/>
    </border>
    <border>
      <left style="hair">
        <color auto="1"/>
      </left>
      <right style="medium">
        <color theme="8" tint="0.59999389629810485"/>
      </right>
      <top/>
      <bottom style="hair">
        <color auto="1"/>
      </bottom>
      <diagonal/>
    </border>
    <border>
      <left style="hair">
        <color indexed="64"/>
      </left>
      <right style="medium">
        <color theme="8" tint="0.59999389629810485"/>
      </right>
      <top style="hair">
        <color indexed="64"/>
      </top>
      <bottom style="medium">
        <color theme="8" tint="0.39997558519241921"/>
      </bottom>
      <diagonal/>
    </border>
    <border>
      <left style="medium">
        <color theme="8" tint="0.59999389629810485"/>
      </left>
      <right style="medium">
        <color theme="8" tint="0.59999389629810485"/>
      </right>
      <top style="medium">
        <color theme="8" tint="0.59999389629810485"/>
      </top>
      <bottom/>
      <diagonal/>
    </border>
    <border>
      <left style="medium">
        <color theme="8" tint="0.59999389629810485"/>
      </left>
      <right style="medium">
        <color theme="8" tint="0.59999389629810485"/>
      </right>
      <top/>
      <bottom/>
      <diagonal/>
    </border>
    <border>
      <left style="medium">
        <color theme="8" tint="0.59999389629810485"/>
      </left>
      <right style="medium">
        <color theme="8" tint="0.59999389629810485"/>
      </right>
      <top style="medium">
        <color theme="8" tint="0.39997558519241921"/>
      </top>
      <bottom/>
      <diagonal/>
    </border>
    <border>
      <left style="medium">
        <color theme="8" tint="0.59999389629810485"/>
      </left>
      <right style="medium">
        <color theme="8" tint="0.59999389629810485"/>
      </right>
      <top/>
      <bottom style="medium">
        <color theme="8" tint="0.59999389629810485"/>
      </bottom>
      <diagonal/>
    </border>
    <border>
      <left style="hair">
        <color indexed="64"/>
      </left>
      <right style="medium">
        <color theme="8" tint="0.59999389629810485"/>
      </right>
      <top style="hair">
        <color indexed="64"/>
      </top>
      <bottom style="hair">
        <color indexed="64"/>
      </bottom>
      <diagonal/>
    </border>
    <border>
      <left/>
      <right style="hair">
        <color indexed="64"/>
      </right>
      <top style="thin">
        <color theme="8" tint="0.59999389629810485"/>
      </top>
      <bottom style="medium">
        <color theme="8" tint="0.59999389629810485"/>
      </bottom>
      <diagonal/>
    </border>
    <border>
      <left style="hair">
        <color indexed="64"/>
      </left>
      <right style="medium">
        <color theme="8" tint="0.59999389629810485"/>
      </right>
      <top style="hair">
        <color indexed="64"/>
      </top>
      <bottom style="medium">
        <color theme="8" tint="0.59999389629810485"/>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slantDashDot">
        <color theme="9"/>
      </left>
      <right/>
      <top style="slantDashDot">
        <color theme="9"/>
      </top>
      <bottom/>
      <diagonal/>
    </border>
    <border>
      <left/>
      <right style="slantDashDot">
        <color theme="9"/>
      </right>
      <top style="slantDashDot">
        <color theme="9"/>
      </top>
      <bottom/>
      <diagonal/>
    </border>
    <border>
      <left style="slantDashDot">
        <color theme="9"/>
      </left>
      <right/>
      <top/>
      <bottom style="slantDashDot">
        <color theme="9"/>
      </bottom>
      <diagonal/>
    </border>
    <border>
      <left/>
      <right style="slantDashDot">
        <color theme="9"/>
      </right>
      <top/>
      <bottom style="slantDashDot">
        <color theme="9"/>
      </bottom>
      <diagonal/>
    </border>
    <border>
      <left style="slantDashDot">
        <color theme="9"/>
      </left>
      <right/>
      <top/>
      <bottom/>
      <diagonal/>
    </border>
    <border>
      <left/>
      <right style="slantDashDot">
        <color theme="9"/>
      </right>
      <top/>
      <bottom/>
      <diagonal/>
    </border>
    <border>
      <left style="medium">
        <color theme="8" tint="0.59999389629810485"/>
      </left>
      <right/>
      <top style="medium">
        <color theme="8" tint="0.39997558519241921"/>
      </top>
      <bottom style="medium">
        <color theme="8" tint="0.59999389629810485"/>
      </bottom>
      <diagonal/>
    </border>
    <border>
      <left/>
      <right style="medium">
        <color theme="8" tint="0.39997558519241921"/>
      </right>
      <top style="medium">
        <color theme="8" tint="0.39997558519241921"/>
      </top>
      <bottom style="medium">
        <color theme="8" tint="0.59999389629810485"/>
      </bottom>
      <diagonal/>
    </border>
    <border>
      <left style="hair">
        <color indexed="64"/>
      </left>
      <right/>
      <top style="medium">
        <color theme="8" tint="0.39997558519241921"/>
      </top>
      <bottom style="medium">
        <color theme="8" tint="0.59999389629810485"/>
      </bottom>
      <diagonal/>
    </border>
    <border>
      <left style="hair">
        <color indexed="64"/>
      </left>
      <right style="medium">
        <color theme="8" tint="0.39997558519241921"/>
      </right>
      <top/>
      <bottom style="hair">
        <color indexed="64"/>
      </bottom>
      <diagonal/>
    </border>
    <border>
      <left style="hair">
        <color indexed="64"/>
      </left>
      <right style="medium">
        <color theme="8" tint="0.39997558519241921"/>
      </right>
      <top style="hair">
        <color indexed="64"/>
      </top>
      <bottom style="hair">
        <color indexed="64"/>
      </bottom>
      <diagonal/>
    </border>
    <border>
      <left style="hair">
        <color indexed="64"/>
      </left>
      <right style="medium">
        <color theme="8" tint="0.39997558519241921"/>
      </right>
      <top style="hair">
        <color indexed="64"/>
      </top>
      <bottom style="medium">
        <color theme="8" tint="0.39997558519241921"/>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8" tint="0.39997558519241921"/>
      </right>
      <top/>
      <bottom/>
      <diagonal/>
    </border>
    <border>
      <left style="medium">
        <color theme="8" tint="0.59999389629810485"/>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diagonal/>
    </border>
    <border>
      <left style="medium">
        <color theme="8" tint="0.59999389629810485"/>
      </left>
      <right/>
      <top style="medium">
        <color theme="8" tint="0.59999389629810485"/>
      </top>
      <bottom style="medium">
        <color theme="8" tint="0.39997558519241921"/>
      </bottom>
      <diagonal/>
    </border>
    <border>
      <left/>
      <right/>
      <top style="medium">
        <color theme="8" tint="0.59999389629810485"/>
      </top>
      <bottom style="medium">
        <color theme="8" tint="0.39997558519241921"/>
      </bottom>
      <diagonal/>
    </border>
    <border>
      <left/>
      <right style="medium">
        <color theme="8" tint="0.59999389629810485"/>
      </right>
      <top style="medium">
        <color theme="8" tint="0.59999389629810485"/>
      </top>
      <bottom style="medium">
        <color theme="8" tint="0.39997558519241921"/>
      </bottom>
      <diagonal/>
    </border>
    <border>
      <left style="medium">
        <color theme="8" tint="0.59999389629810485"/>
      </left>
      <right style="medium">
        <color theme="8" tint="0.59999389629810485"/>
      </right>
      <top/>
      <bottom style="thin">
        <color theme="8" tint="0.59999389629810485"/>
      </bottom>
      <diagonal/>
    </border>
    <border>
      <left style="medium">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medium">
        <color theme="8" tint="0.59999389629810485"/>
      </right>
      <top style="thin">
        <color theme="8" tint="0.59999389629810485"/>
      </top>
      <bottom/>
      <diagonal/>
    </border>
    <border>
      <left style="medium">
        <color theme="8" tint="0.59999389629810485"/>
      </left>
      <right style="hair">
        <color indexed="64"/>
      </right>
      <top style="medium">
        <color theme="8" tint="0.39997558519241921"/>
      </top>
      <bottom style="medium">
        <color theme="8" tint="0.59999389629810485"/>
      </bottom>
      <diagonal/>
    </border>
    <border>
      <left/>
      <right style="thin">
        <color theme="8" tint="0.39997558519241921"/>
      </right>
      <top style="medium">
        <color theme="8" tint="0.59999389629810485"/>
      </top>
      <bottom style="thin">
        <color theme="8" tint="0.59999389629810485"/>
      </bottom>
      <diagonal/>
    </border>
    <border>
      <left/>
      <right style="thin">
        <color theme="8" tint="0.39997558519241921"/>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4" tint="0.59999389629810485"/>
      </bottom>
      <diagonal/>
    </border>
    <border>
      <left style="medium">
        <color theme="8" tint="0.39997558519241921"/>
      </left>
      <right/>
      <top style="medium">
        <color theme="8" tint="0.39997558519241921"/>
      </top>
      <bottom style="thin">
        <color theme="8" tint="0.59999389629810485"/>
      </bottom>
      <diagonal/>
    </border>
    <border>
      <left style="dotted">
        <color auto="1"/>
      </left>
      <right style="hair">
        <color auto="1"/>
      </right>
      <top style="hair">
        <color auto="1"/>
      </top>
      <bottom/>
      <diagonal/>
    </border>
    <border>
      <left/>
      <right style="dotted">
        <color auto="1"/>
      </right>
      <top/>
      <bottom/>
      <diagonal/>
    </border>
    <border>
      <left style="medium">
        <color theme="8" tint="0.39997558519241921"/>
      </left>
      <right/>
      <top style="thin">
        <color theme="8" tint="0.59999389629810485"/>
      </top>
      <bottom/>
      <diagonal/>
    </border>
    <border>
      <left style="thin">
        <color theme="4"/>
      </left>
      <right style="thin">
        <color theme="8" tint="0.59999389629810485"/>
      </right>
      <top style="thin">
        <color theme="4"/>
      </top>
      <bottom style="thin">
        <color theme="4"/>
      </bottom>
      <diagonal/>
    </border>
    <border>
      <left style="thin">
        <color theme="8" tint="0.59999389629810485"/>
      </left>
      <right style="thin">
        <color theme="8" tint="0.59999389629810485"/>
      </right>
      <top style="thin">
        <color theme="4"/>
      </top>
      <bottom style="thin">
        <color theme="4"/>
      </bottom>
      <diagonal/>
    </border>
    <border>
      <left style="thin">
        <color theme="8" tint="0.59999389629810485"/>
      </left>
      <right style="thin">
        <color theme="4"/>
      </right>
      <top style="thin">
        <color theme="4"/>
      </top>
      <bottom style="thin">
        <color theme="4"/>
      </bottom>
      <diagonal/>
    </border>
    <border>
      <left/>
      <right style="medium">
        <color theme="4"/>
      </right>
      <top/>
      <bottom/>
      <diagonal/>
    </border>
    <border>
      <left style="hair">
        <color indexed="64"/>
      </left>
      <right style="hair">
        <color auto="1"/>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8" tint="0.59999389629810485"/>
      </right>
      <top style="thin">
        <color theme="4"/>
      </top>
      <bottom style="thin">
        <color theme="4"/>
      </bottom>
      <diagonal/>
    </border>
    <border>
      <left/>
      <right/>
      <top style="thin">
        <color theme="8"/>
      </top>
      <bottom/>
      <diagonal/>
    </border>
    <border>
      <left style="medium">
        <color theme="8" tint="0.39997558519241921"/>
      </left>
      <right/>
      <top style="medium">
        <color theme="8" tint="0.39997558519241921"/>
      </top>
      <bottom style="thin">
        <color theme="8"/>
      </bottom>
      <diagonal/>
    </border>
    <border>
      <left/>
      <right/>
      <top/>
      <bottom style="medium">
        <color theme="4" tint="0.39997558519241921"/>
      </bottom>
      <diagonal/>
    </border>
    <border>
      <left style="medium">
        <color theme="4" tint="0.59999389629810485"/>
      </left>
      <right/>
      <top style="medium">
        <color theme="4" tint="0.59999389629810485"/>
      </top>
      <bottom/>
      <diagonal/>
    </border>
    <border>
      <left/>
      <right style="medium">
        <color theme="4" tint="0.59999389629810485"/>
      </right>
      <top style="medium">
        <color theme="4" tint="0.59999389629810485"/>
      </top>
      <bottom/>
      <diagonal/>
    </border>
    <border>
      <left style="medium">
        <color theme="8" tint="0.39997558519241921"/>
      </left>
      <right style="hair">
        <color auto="1"/>
      </right>
      <top style="hair">
        <color auto="1"/>
      </top>
      <bottom style="hair">
        <color auto="1"/>
      </bottom>
      <diagonal/>
    </border>
    <border>
      <left style="medium">
        <color theme="4" tint="0.59999389629810485"/>
      </left>
      <right style="hair">
        <color indexed="64"/>
      </right>
      <top style="hair">
        <color indexed="64"/>
      </top>
      <bottom style="hair">
        <color indexed="64"/>
      </bottom>
      <diagonal/>
    </border>
    <border>
      <left style="hair">
        <color indexed="64"/>
      </left>
      <right style="medium">
        <color theme="4" tint="0.59999389629810485"/>
      </right>
      <top style="hair">
        <color indexed="64"/>
      </top>
      <bottom style="hair">
        <color indexed="64"/>
      </bottom>
      <diagonal/>
    </border>
    <border>
      <left style="medium">
        <color theme="4" tint="0.59999389629810485"/>
      </left>
      <right style="hair">
        <color indexed="64"/>
      </right>
      <top style="hair">
        <color indexed="64"/>
      </top>
      <bottom style="medium">
        <color theme="4" tint="0.59999389629810485"/>
      </bottom>
      <diagonal/>
    </border>
    <border>
      <left style="hair">
        <color indexed="64"/>
      </left>
      <right style="medium">
        <color theme="4" tint="0.59999389629810485"/>
      </right>
      <top style="hair">
        <color indexed="64"/>
      </top>
      <bottom style="medium">
        <color theme="4" tint="0.59999389629810485"/>
      </bottom>
      <diagonal/>
    </border>
    <border>
      <left style="medium">
        <color theme="4" tint="0.59999389629810485"/>
      </left>
      <right/>
      <top style="medium">
        <color theme="4" tint="0.59999389629810485"/>
      </top>
      <bottom style="medium">
        <color theme="4" tint="0.59999389629810485"/>
      </bottom>
      <diagonal/>
    </border>
    <border>
      <left/>
      <right/>
      <top style="medium">
        <color theme="4" tint="0.59999389629810485"/>
      </top>
      <bottom style="medium">
        <color theme="4" tint="0.59999389629810485"/>
      </bottom>
      <diagonal/>
    </border>
    <border>
      <left/>
      <right style="medium">
        <color theme="4" tint="0.59999389629810485"/>
      </right>
      <top style="medium">
        <color theme="4" tint="0.59999389629810485"/>
      </top>
      <bottom style="medium">
        <color theme="4" tint="0.59999389629810485"/>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style="thin">
        <color theme="8" tint="0.59999389629810485"/>
      </right>
      <top style="thin">
        <color theme="8" tint="0.59999389629810485"/>
      </top>
      <bottom style="thin">
        <color theme="8" tint="0.59999389629810485"/>
      </bottom>
      <diagonal/>
    </border>
    <border>
      <left/>
      <right style="medium">
        <color theme="4" tint="0.39997558519241921"/>
      </right>
      <top/>
      <bottom style="thin">
        <color theme="8" tint="0.59999389629810485"/>
      </bottom>
      <diagonal/>
    </border>
    <border>
      <left style="medium">
        <color theme="4" tint="0.39997558519241921"/>
      </left>
      <right/>
      <top style="thin">
        <color theme="8" tint="0.59999389629810485"/>
      </top>
      <bottom style="thin">
        <color theme="8" tint="0.59999389629810485"/>
      </bottom>
      <diagonal/>
    </border>
    <border>
      <left style="medium">
        <color theme="4" tint="0.39997558519241921"/>
      </left>
      <right/>
      <top/>
      <bottom style="medium">
        <color theme="4" tint="0.39997558519241921"/>
      </bottom>
      <diagonal/>
    </border>
    <border>
      <left/>
      <right style="medium">
        <color theme="4" tint="0.39997558519241921"/>
      </right>
      <top/>
      <bottom style="medium">
        <color theme="4" tint="0.39997558519241921"/>
      </bottom>
      <diagonal/>
    </border>
    <border>
      <left style="thin">
        <color rgb="FFB4C6E7"/>
      </left>
      <right style="thin">
        <color rgb="FFB4C6E7"/>
      </right>
      <top style="thin">
        <color rgb="FFB4C6E7"/>
      </top>
      <bottom style="thin">
        <color rgb="FFB4C6E7"/>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theme="4" tint="0.59999389629810485"/>
      </left>
      <right/>
      <top style="medium">
        <color theme="8" tint="0.39997558519241921"/>
      </top>
      <bottom style="medium">
        <color theme="8" tint="0.39997558519241921"/>
      </bottom>
      <diagonal/>
    </border>
    <border>
      <left/>
      <right style="medium">
        <color theme="4" tint="0.59999389629810485"/>
      </right>
      <top style="medium">
        <color theme="8" tint="0.39997558519241921"/>
      </top>
      <bottom style="medium">
        <color theme="8" tint="0.39997558519241921"/>
      </bottom>
      <diagonal/>
    </border>
    <border>
      <left style="medium">
        <color theme="4" tint="0.59999389629810485"/>
      </left>
      <right/>
      <top/>
      <bottom style="medium">
        <color theme="8" tint="0.59999389629810485"/>
      </bottom>
      <diagonal/>
    </border>
    <border>
      <left style="thin">
        <color theme="8" tint="0.59999389629810485"/>
      </left>
      <right style="medium">
        <color theme="4" tint="0.59999389629810485"/>
      </right>
      <top style="thin">
        <color theme="8" tint="0.59999389629810485"/>
      </top>
      <bottom/>
      <diagonal/>
    </border>
    <border>
      <left style="medium">
        <color theme="4" tint="0.59999389629810485"/>
      </left>
      <right/>
      <top/>
      <bottom style="medium">
        <color theme="4" tint="0.59999389629810485"/>
      </bottom>
      <diagonal/>
    </border>
    <border>
      <left/>
      <right/>
      <top/>
      <bottom style="medium">
        <color theme="4" tint="0.59999389629810485"/>
      </bottom>
      <diagonal/>
    </border>
    <border>
      <left/>
      <right style="thin">
        <color theme="8" tint="0.59999389629810485"/>
      </right>
      <top/>
      <bottom style="medium">
        <color theme="4" tint="0.59999389629810485"/>
      </bottom>
      <diagonal/>
    </border>
    <border>
      <left style="thin">
        <color theme="8" tint="0.59999389629810485"/>
      </left>
      <right style="thin">
        <color theme="8" tint="0.59999389629810485"/>
      </right>
      <top/>
      <bottom style="medium">
        <color theme="4" tint="0.59999389629810485"/>
      </bottom>
      <diagonal/>
    </border>
    <border>
      <left style="medium">
        <color theme="8" tint="0.59999389629810485"/>
      </left>
      <right style="medium">
        <color indexed="64"/>
      </right>
      <top/>
      <bottom style="medium">
        <color indexed="64"/>
      </bottom>
      <diagonal/>
    </border>
    <border>
      <left/>
      <right style="medium">
        <color theme="8" tint="0.59999389629810485"/>
      </right>
      <top/>
      <bottom style="medium">
        <color indexed="64"/>
      </bottom>
      <diagonal/>
    </border>
    <border>
      <left style="medium">
        <color theme="8" tint="0.59999389629810485"/>
      </left>
      <right style="medium">
        <color indexed="64"/>
      </right>
      <top/>
      <bottom/>
      <diagonal/>
    </border>
    <border>
      <left style="medium">
        <color indexed="64"/>
      </left>
      <right/>
      <top style="medium">
        <color theme="8" tint="0.59999389629810485"/>
      </top>
      <bottom/>
      <diagonal/>
    </border>
    <border>
      <left style="medium">
        <color indexed="64"/>
      </left>
      <right/>
      <top/>
      <bottom style="medium">
        <color theme="8" tint="0.59999389629810485"/>
      </bottom>
      <diagonal/>
    </border>
    <border>
      <left/>
      <right style="medium">
        <color indexed="64"/>
      </right>
      <top style="medium">
        <color indexed="64"/>
      </top>
      <bottom style="medium">
        <color theme="8" tint="0.39997558519241921"/>
      </bottom>
      <diagonal/>
    </border>
    <border>
      <left/>
      <right/>
      <top style="medium">
        <color indexed="64"/>
      </top>
      <bottom style="medium">
        <color theme="8" tint="0.39997558519241921"/>
      </bottom>
      <diagonal/>
    </border>
    <border>
      <left style="medium">
        <color indexed="64"/>
      </left>
      <right/>
      <top style="medium">
        <color indexed="64"/>
      </top>
      <bottom style="medium">
        <color theme="8" tint="0.39997558519241921"/>
      </bottom>
      <diagonal/>
    </border>
    <border>
      <left/>
      <right style="thin">
        <color theme="4"/>
      </right>
      <top style="thin">
        <color theme="4"/>
      </top>
      <bottom style="thin">
        <color theme="4"/>
      </bottom>
      <diagonal/>
    </border>
    <border>
      <left style="thin">
        <color theme="4"/>
      </left>
      <right style="medium">
        <color theme="8" tint="0.59999389629810485"/>
      </right>
      <top/>
      <bottom/>
      <diagonal/>
    </border>
  </borders>
  <cellStyleXfs count="10">
    <xf numFmtId="0" fontId="0" fillId="0" borderId="0"/>
    <xf numFmtId="0" fontId="1" fillId="0" borderId="0"/>
    <xf numFmtId="0" fontId="22" fillId="0" borderId="0" applyNumberFormat="0" applyFill="0" applyBorder="0" applyAlignment="0" applyProtection="0"/>
    <xf numFmtId="9" fontId="26" fillId="0" borderId="0" applyFon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44" fontId="38" fillId="0" borderId="0" applyFont="0" applyFill="0" applyBorder="0" applyAlignment="0" applyProtection="0"/>
    <xf numFmtId="0" fontId="38" fillId="49" borderId="234"/>
    <xf numFmtId="44" fontId="26" fillId="0" borderId="0" applyFont="0" applyFill="0" applyBorder="0" applyAlignment="0" applyProtection="0"/>
  </cellStyleXfs>
  <cellXfs count="3173">
    <xf numFmtId="0" fontId="0" fillId="0" borderId="0" xfId="0"/>
    <xf numFmtId="0" fontId="0" fillId="2" borderId="0" xfId="0" applyFill="1"/>
    <xf numFmtId="0" fontId="0" fillId="0" borderId="0" xfId="0" applyAlignment="1">
      <alignment wrapText="1"/>
    </xf>
    <xf numFmtId="0" fontId="13" fillId="0" borderId="0" xfId="0" applyFont="1"/>
    <xf numFmtId="0" fontId="5" fillId="2" borderId="0" xfId="0" applyFont="1" applyFill="1" applyAlignment="1">
      <alignment horizontal="center" vertical="center" wrapText="1"/>
    </xf>
    <xf numFmtId="0" fontId="0" fillId="0" borderId="0" xfId="0" applyAlignment="1">
      <alignment horizontal="left" vertical="top"/>
    </xf>
    <xf numFmtId="0" fontId="14" fillId="0" borderId="0" xfId="0" applyFont="1" applyAlignment="1">
      <alignment horizontal="left" vertical="top"/>
    </xf>
    <xf numFmtId="0" fontId="5" fillId="2" borderId="0" xfId="0" applyFont="1" applyFill="1"/>
    <xf numFmtId="0" fontId="5" fillId="2" borderId="0" xfId="0" applyFont="1" applyFill="1" applyAlignment="1">
      <alignment vertical="center"/>
    </xf>
    <xf numFmtId="0" fontId="0" fillId="2" borderId="0" xfId="0" applyFill="1" applyAlignment="1">
      <alignment wrapText="1"/>
    </xf>
    <xf numFmtId="0" fontId="4" fillId="2" borderId="0" xfId="0" applyFont="1" applyFill="1"/>
    <xf numFmtId="0" fontId="5" fillId="2" borderId="0" xfId="0" applyFont="1" applyFill="1" applyAlignment="1">
      <alignment horizontal="center" vertical="top" wrapText="1"/>
    </xf>
    <xf numFmtId="0" fontId="11" fillId="7" borderId="0" xfId="0" applyFont="1" applyFill="1" applyAlignment="1">
      <alignment vertical="top"/>
    </xf>
    <xf numFmtId="0" fontId="5" fillId="7" borderId="0" xfId="0" applyFont="1" applyFill="1"/>
    <xf numFmtId="0" fontId="11" fillId="7" borderId="0" xfId="0" applyFont="1" applyFill="1" applyAlignment="1">
      <alignment vertical="center"/>
    </xf>
    <xf numFmtId="0" fontId="5" fillId="2" borderId="0" xfId="0" applyFont="1" applyFill="1" applyAlignment="1">
      <alignment vertical="center" wrapText="1"/>
    </xf>
    <xf numFmtId="0" fontId="16" fillId="2" borderId="0" xfId="0" applyFont="1" applyFill="1" applyAlignment="1">
      <alignment horizontal="center" vertical="center" wrapText="1"/>
    </xf>
    <xf numFmtId="164" fontId="5" fillId="2" borderId="0" xfId="0" applyNumberFormat="1" applyFont="1" applyFill="1" applyAlignment="1">
      <alignment horizontal="justify" vertical="center" wrapText="1"/>
    </xf>
    <xf numFmtId="0" fontId="11" fillId="2" borderId="0" xfId="0" applyFont="1" applyFill="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vertical="top" wrapText="1"/>
    </xf>
    <xf numFmtId="0" fontId="0" fillId="5" borderId="0" xfId="0" applyFill="1"/>
    <xf numFmtId="0" fontId="0" fillId="3" borderId="0" xfId="0" applyFill="1"/>
    <xf numFmtId="0" fontId="0" fillId="8" borderId="0" xfId="0" applyFill="1" applyAlignment="1">
      <alignment horizontal="center" vertical="center"/>
    </xf>
    <xf numFmtId="0" fontId="0" fillId="0" borderId="19" xfId="0" applyBorder="1"/>
    <xf numFmtId="0" fontId="2" fillId="10" borderId="0" xfId="1" applyFont="1" applyFill="1" applyAlignment="1">
      <alignment vertical="center"/>
    </xf>
    <xf numFmtId="0" fontId="14" fillId="0" borderId="10" xfId="0" applyFont="1" applyBorder="1"/>
    <xf numFmtId="0" fontId="11" fillId="7" borderId="0" xfId="0" applyFont="1" applyFill="1"/>
    <xf numFmtId="0" fontId="27" fillId="0" borderId="0" xfId="0" applyFont="1"/>
    <xf numFmtId="0" fontId="27" fillId="2" borderId="0" xfId="0" applyFont="1" applyFill="1"/>
    <xf numFmtId="0" fontId="0" fillId="8" borderId="3" xfId="0" applyFill="1" applyBorder="1" applyAlignment="1">
      <alignment horizontal="center" vertical="center"/>
    </xf>
    <xf numFmtId="0" fontId="0" fillId="8" borderId="6" xfId="0" applyFill="1" applyBorder="1" applyAlignment="1">
      <alignment horizontal="center" vertical="center"/>
    </xf>
    <xf numFmtId="0" fontId="0" fillId="8" borderId="5" xfId="0" applyFill="1" applyBorder="1" applyAlignment="1">
      <alignment horizontal="center" vertical="center"/>
    </xf>
    <xf numFmtId="0" fontId="15" fillId="2" borderId="0" xfId="0" applyFont="1" applyFill="1"/>
    <xf numFmtId="0" fontId="0" fillId="8" borderId="4" xfId="0" applyFill="1" applyBorder="1" applyAlignment="1">
      <alignment horizontal="center" vertical="center"/>
    </xf>
    <xf numFmtId="0" fontId="4" fillId="0" borderId="0" xfId="0" applyFont="1"/>
    <xf numFmtId="0" fontId="5" fillId="2" borderId="0" xfId="0" applyFont="1" applyFill="1" applyAlignment="1">
      <alignment horizontal="center" vertical="top"/>
    </xf>
    <xf numFmtId="0" fontId="5" fillId="2" borderId="0" xfId="0" applyFont="1" applyFill="1" applyAlignment="1">
      <alignment horizontal="right" vertical="center" wrapText="1"/>
    </xf>
    <xf numFmtId="174" fontId="5" fillId="2" borderId="0" xfId="0" applyNumberFormat="1" applyFont="1" applyFill="1" applyAlignment="1">
      <alignment horizontal="center" vertical="center" wrapText="1"/>
    </xf>
    <xf numFmtId="0" fontId="21" fillId="2" borderId="0" xfId="0" applyFont="1" applyFill="1" applyAlignment="1">
      <alignment horizontal="center"/>
    </xf>
    <xf numFmtId="0" fontId="3" fillId="0" borderId="0" xfId="0" applyFont="1"/>
    <xf numFmtId="0" fontId="30" fillId="2" borderId="0" xfId="0" applyFont="1" applyFill="1"/>
    <xf numFmtId="0" fontId="31" fillId="2" borderId="0" xfId="0" applyFont="1" applyFill="1"/>
    <xf numFmtId="0" fontId="32" fillId="2" borderId="0" xfId="0" applyFont="1" applyFill="1"/>
    <xf numFmtId="0" fontId="17" fillId="11" borderId="0" xfId="0" applyFont="1" applyFill="1" applyAlignment="1">
      <alignment horizontal="center" vertical="center" wrapText="1"/>
    </xf>
    <xf numFmtId="0" fontId="11" fillId="11" borderId="0" xfId="0" applyFont="1" applyFill="1"/>
    <xf numFmtId="0" fontId="5" fillId="11" borderId="0" xfId="0" applyFont="1" applyFill="1" applyAlignment="1">
      <alignment horizontal="justify" vertical="center" wrapText="1"/>
    </xf>
    <xf numFmtId="0" fontId="24" fillId="2" borderId="0" xfId="0" applyFont="1" applyFill="1" applyAlignment="1">
      <alignment horizontal="center"/>
    </xf>
    <xf numFmtId="0" fontId="11" fillId="2" borderId="0" xfId="0" applyFont="1" applyFill="1" applyAlignment="1">
      <alignment horizontal="center"/>
    </xf>
    <xf numFmtId="0" fontId="17" fillId="2" borderId="0" xfId="0" applyFont="1" applyFill="1" applyAlignment="1">
      <alignment horizontal="center" vertical="center"/>
    </xf>
    <xf numFmtId="0" fontId="17" fillId="2" borderId="0" xfId="0" applyFont="1" applyFill="1" applyAlignment="1">
      <alignment horizontal="center" vertical="center" wrapText="1"/>
    </xf>
    <xf numFmtId="0" fontId="34" fillId="7" borderId="0" xfId="0" applyFont="1" applyFill="1"/>
    <xf numFmtId="0" fontId="18" fillId="2" borderId="0" xfId="0" applyFont="1" applyFill="1" applyAlignment="1">
      <alignment horizontal="center" vertical="center"/>
    </xf>
    <xf numFmtId="0" fontId="0" fillId="2" borderId="0" xfId="0" applyFill="1" applyAlignment="1">
      <alignment horizontal="center" wrapText="1"/>
    </xf>
    <xf numFmtId="0" fontId="11" fillId="2" borderId="0" xfId="0" applyFont="1" applyFill="1" applyAlignment="1">
      <alignment horizontal="center" wrapText="1"/>
    </xf>
    <xf numFmtId="166" fontId="5" fillId="2" borderId="0" xfId="0" applyNumberFormat="1" applyFont="1" applyFill="1" applyAlignment="1">
      <alignment horizontal="center" wrapText="1"/>
    </xf>
    <xf numFmtId="0" fontId="22" fillId="2" borderId="0" xfId="2" applyFill="1" applyBorder="1" applyAlignment="1">
      <alignment horizontal="center" vertical="center"/>
    </xf>
    <xf numFmtId="0" fontId="21" fillId="2" borderId="0" xfId="0" applyFont="1" applyFill="1" applyAlignment="1">
      <alignment horizontal="center" vertical="top"/>
    </xf>
    <xf numFmtId="0" fontId="19" fillId="2" borderId="0" xfId="0" applyFont="1" applyFill="1" applyAlignment="1">
      <alignment horizontal="center" vertical="center"/>
    </xf>
    <xf numFmtId="0" fontId="11" fillId="2" borderId="0" xfId="0" applyFont="1" applyFill="1" applyAlignment="1">
      <alignment horizontal="center" vertical="top" wrapText="1"/>
    </xf>
    <xf numFmtId="0" fontId="4" fillId="2" borderId="0" xfId="0" applyFont="1" applyFill="1" applyAlignment="1">
      <alignment horizontal="center"/>
    </xf>
    <xf numFmtId="0" fontId="25" fillId="2" borderId="0" xfId="0" applyFont="1" applyFill="1"/>
    <xf numFmtId="0" fontId="4" fillId="2" borderId="0" xfId="0" applyFont="1" applyFill="1" applyAlignment="1">
      <alignment wrapText="1"/>
    </xf>
    <xf numFmtId="0" fontId="37" fillId="2" borderId="0" xfId="0" applyFont="1" applyFill="1"/>
    <xf numFmtId="0" fontId="41" fillId="0" borderId="0" xfId="4" applyFont="1"/>
    <xf numFmtId="0" fontId="0" fillId="2" borderId="22" xfId="0" applyFill="1" applyBorder="1"/>
    <xf numFmtId="0" fontId="5" fillId="12" borderId="22" xfId="0" applyFont="1" applyFill="1" applyBorder="1" applyAlignment="1">
      <alignment horizontal="center" vertical="center"/>
    </xf>
    <xf numFmtId="0" fontId="5" fillId="4" borderId="22" xfId="0" applyFont="1" applyFill="1" applyBorder="1" applyAlignment="1">
      <alignment horizontal="justify" vertical="center" wrapText="1"/>
    </xf>
    <xf numFmtId="167" fontId="43" fillId="0" borderId="22" xfId="0" applyNumberFormat="1" applyFont="1" applyBorder="1" applyAlignment="1">
      <alignment horizontal="center" vertical="center" wrapText="1"/>
    </xf>
    <xf numFmtId="175" fontId="43" fillId="0" borderId="22" xfId="0" applyNumberFormat="1" applyFont="1" applyBorder="1" applyAlignment="1">
      <alignment horizontal="center" vertical="center" wrapText="1"/>
    </xf>
    <xf numFmtId="0" fontId="43" fillId="0" borderId="22" xfId="0" applyFont="1" applyBorder="1" applyAlignment="1">
      <alignment horizontal="center" vertical="center" wrapText="1"/>
    </xf>
    <xf numFmtId="0" fontId="5" fillId="2" borderId="37" xfId="0" applyFont="1" applyFill="1" applyBorder="1"/>
    <xf numFmtId="175" fontId="43" fillId="0" borderId="22" xfId="0" applyNumberFormat="1" applyFont="1" applyBorder="1" applyAlignment="1">
      <alignment horizontal="center" vertical="center"/>
    </xf>
    <xf numFmtId="164" fontId="43" fillId="0" borderId="22" xfId="0" applyNumberFormat="1" applyFont="1" applyBorder="1" applyAlignment="1">
      <alignment horizontal="left" vertical="center"/>
    </xf>
    <xf numFmtId="164" fontId="43" fillId="0" borderId="22" xfId="0" applyNumberFormat="1" applyFont="1" applyBorder="1" applyAlignment="1">
      <alignment horizontal="center" vertical="center" wrapText="1"/>
    </xf>
    <xf numFmtId="0" fontId="0" fillId="7" borderId="0" xfId="0" applyFill="1"/>
    <xf numFmtId="0" fontId="47" fillId="2" borderId="0" xfId="0" applyFont="1" applyFill="1"/>
    <xf numFmtId="0" fontId="29" fillId="2" borderId="0" xfId="0" applyFont="1" applyFill="1"/>
    <xf numFmtId="0" fontId="48" fillId="2" borderId="0" xfId="0" applyFont="1" applyFill="1"/>
    <xf numFmtId="0" fontId="49" fillId="2" borderId="0" xfId="0" applyFont="1" applyFill="1"/>
    <xf numFmtId="0" fontId="50" fillId="2" borderId="0" xfId="0" applyFont="1" applyFill="1"/>
    <xf numFmtId="0" fontId="5" fillId="0" borderId="22" xfId="0" applyFont="1" applyBorder="1" applyAlignment="1">
      <alignment horizontal="center" vertical="center" wrapText="1"/>
    </xf>
    <xf numFmtId="0" fontId="43" fillId="12" borderId="23" xfId="0" applyFont="1" applyFill="1" applyBorder="1" applyAlignment="1">
      <alignment horizontal="center" vertical="center" wrapText="1"/>
    </xf>
    <xf numFmtId="177" fontId="43" fillId="0" borderId="22" xfId="0" applyNumberFormat="1" applyFont="1" applyBorder="1" applyAlignment="1">
      <alignment horizontal="center" vertical="center" wrapText="1"/>
    </xf>
    <xf numFmtId="167" fontId="5" fillId="14" borderId="22" xfId="0" applyNumberFormat="1" applyFont="1" applyFill="1" applyBorder="1" applyAlignment="1">
      <alignment horizontal="center" vertical="center" wrapText="1"/>
    </xf>
    <xf numFmtId="0" fontId="21" fillId="11" borderId="22" xfId="0" applyFont="1" applyFill="1" applyBorder="1" applyAlignment="1">
      <alignment horizontal="center"/>
    </xf>
    <xf numFmtId="0" fontId="17" fillId="2" borderId="22" xfId="0" applyFont="1" applyFill="1" applyBorder="1" applyAlignment="1">
      <alignment horizontal="center"/>
    </xf>
    <xf numFmtId="0" fontId="21" fillId="11" borderId="63" xfId="0" applyFont="1" applyFill="1" applyBorder="1" applyAlignment="1">
      <alignment horizontal="center"/>
    </xf>
    <xf numFmtId="0" fontId="17" fillId="2" borderId="63" xfId="0" applyFont="1" applyFill="1" applyBorder="1" applyAlignment="1">
      <alignment horizontal="center"/>
    </xf>
    <xf numFmtId="0" fontId="5" fillId="0" borderId="63" xfId="0" applyFont="1" applyBorder="1" applyAlignment="1">
      <alignment horizontal="center" vertical="center" wrapText="1"/>
    </xf>
    <xf numFmtId="0" fontId="5" fillId="12" borderId="63" xfId="0" applyFont="1" applyFill="1" applyBorder="1" applyAlignment="1">
      <alignment horizontal="center" vertical="center"/>
    </xf>
    <xf numFmtId="0" fontId="43" fillId="12" borderId="58" xfId="0" applyFont="1" applyFill="1" applyBorder="1" applyAlignment="1">
      <alignment horizontal="center" vertical="center" wrapText="1"/>
    </xf>
    <xf numFmtId="167" fontId="43" fillId="0" borderId="63" xfId="0" applyNumberFormat="1" applyFont="1" applyBorder="1" applyAlignment="1">
      <alignment horizontal="center" vertical="center" wrapText="1"/>
    </xf>
    <xf numFmtId="175" fontId="43" fillId="0" borderId="63" xfId="0" applyNumberFormat="1" applyFont="1" applyBorder="1" applyAlignment="1">
      <alignment horizontal="center" vertical="center"/>
    </xf>
    <xf numFmtId="175" fontId="43" fillId="0" borderId="63" xfId="0" applyNumberFormat="1" applyFont="1" applyBorder="1" applyAlignment="1">
      <alignment horizontal="center" vertical="center" wrapText="1"/>
    </xf>
    <xf numFmtId="167" fontId="5" fillId="14" borderId="0" xfId="0" applyNumberFormat="1" applyFont="1" applyFill="1" applyAlignment="1">
      <alignment horizontal="center" vertical="center" wrapText="1"/>
    </xf>
    <xf numFmtId="164" fontId="43" fillId="0" borderId="63" xfId="0" applyNumberFormat="1" applyFont="1" applyBorder="1" applyAlignment="1">
      <alignment horizontal="center" vertical="center" wrapText="1"/>
    </xf>
    <xf numFmtId="167" fontId="5" fillId="0" borderId="22" xfId="0" applyNumberFormat="1" applyFont="1" applyBorder="1" applyAlignment="1">
      <alignment horizontal="center" vertical="center" wrapText="1"/>
    </xf>
    <xf numFmtId="175" fontId="5" fillId="0" borderId="22" xfId="0" applyNumberFormat="1" applyFont="1" applyBorder="1" applyAlignment="1">
      <alignment horizontal="center" vertical="center"/>
    </xf>
    <xf numFmtId="175" fontId="5" fillId="0" borderId="22" xfId="0" applyNumberFormat="1" applyFont="1" applyBorder="1" applyAlignment="1">
      <alignment horizontal="center" vertical="center" wrapText="1"/>
    </xf>
    <xf numFmtId="0" fontId="33" fillId="2" borderId="32" xfId="0" applyFont="1" applyFill="1" applyBorder="1"/>
    <xf numFmtId="0" fontId="5" fillId="2" borderId="33" xfId="0" applyFont="1" applyFill="1" applyBorder="1"/>
    <xf numFmtId="0" fontId="0" fillId="2" borderId="33" xfId="0" applyFill="1" applyBorder="1"/>
    <xf numFmtId="0" fontId="5" fillId="2" borderId="68" xfId="0" applyFont="1" applyFill="1" applyBorder="1"/>
    <xf numFmtId="175" fontId="5" fillId="0" borderId="63" xfId="0" applyNumberFormat="1" applyFont="1" applyBorder="1" applyAlignment="1">
      <alignment horizontal="center" vertical="center" wrapText="1"/>
    </xf>
    <xf numFmtId="0" fontId="43" fillId="0" borderId="22" xfId="0" applyFont="1" applyBorder="1" applyAlignment="1">
      <alignment horizontal="justify" vertical="center" wrapText="1"/>
    </xf>
    <xf numFmtId="171" fontId="43" fillId="0" borderId="22" xfId="0" applyNumberFormat="1" applyFont="1" applyBorder="1"/>
    <xf numFmtId="0" fontId="43" fillId="12" borderId="22" xfId="0" applyFont="1" applyFill="1" applyBorder="1" applyAlignment="1">
      <alignment horizontal="justify" vertical="center" wrapText="1"/>
    </xf>
    <xf numFmtId="0" fontId="43" fillId="12" borderId="22" xfId="0" applyFont="1" applyFill="1" applyBorder="1" applyAlignment="1">
      <alignment horizontal="left" vertical="center" wrapText="1"/>
    </xf>
    <xf numFmtId="0" fontId="43" fillId="0" borderId="22" xfId="0" applyFont="1" applyBorder="1" applyAlignment="1">
      <alignment horizontal="left" vertical="center" wrapText="1"/>
    </xf>
    <xf numFmtId="0" fontId="44" fillId="0" borderId="0" xfId="0" applyFont="1" applyAlignment="1">
      <alignment horizontal="left" vertical="top"/>
    </xf>
    <xf numFmtId="0" fontId="44" fillId="0" borderId="0" xfId="0" applyFont="1"/>
    <xf numFmtId="0" fontId="0" fillId="14" borderId="0" xfId="0" applyFill="1"/>
    <xf numFmtId="0" fontId="38" fillId="0" borderId="0" xfId="4"/>
    <xf numFmtId="0" fontId="53" fillId="13" borderId="0" xfId="4" applyFont="1" applyFill="1" applyAlignment="1">
      <alignment wrapText="1"/>
    </xf>
    <xf numFmtId="0" fontId="38" fillId="2" borderId="0" xfId="4" applyFill="1"/>
    <xf numFmtId="0" fontId="38" fillId="13" borderId="0" xfId="4" applyFill="1"/>
    <xf numFmtId="0" fontId="38" fillId="13" borderId="0" xfId="4" applyFill="1" applyAlignment="1">
      <alignment horizontal="center"/>
    </xf>
    <xf numFmtId="0" fontId="38" fillId="13" borderId="0" xfId="4" applyFill="1" applyAlignment="1">
      <alignment horizontal="left" vertical="center"/>
    </xf>
    <xf numFmtId="0" fontId="38" fillId="13" borderId="0" xfId="4" applyFill="1" applyAlignment="1">
      <alignment horizontal="right"/>
    </xf>
    <xf numFmtId="0" fontId="52" fillId="13" borderId="0" xfId="4" applyFont="1" applyFill="1" applyAlignment="1">
      <alignment horizontal="center"/>
    </xf>
    <xf numFmtId="0" fontId="38" fillId="2" borderId="0" xfId="4" applyFill="1" applyAlignment="1">
      <alignment vertical="center" wrapText="1"/>
    </xf>
    <xf numFmtId="0" fontId="38" fillId="0" borderId="0" xfId="4" applyAlignment="1">
      <alignment wrapText="1"/>
    </xf>
    <xf numFmtId="0" fontId="38" fillId="0" borderId="84" xfId="4" applyBorder="1" applyAlignment="1">
      <alignment horizontal="center" vertical="center"/>
    </xf>
    <xf numFmtId="0" fontId="38" fillId="0" borderId="4" xfId="4" applyBorder="1" applyAlignment="1">
      <alignment horizontal="center" vertical="center"/>
    </xf>
    <xf numFmtId="0" fontId="38" fillId="0" borderId="4" xfId="4" applyBorder="1" applyAlignment="1">
      <alignment horizontal="center"/>
    </xf>
    <xf numFmtId="0" fontId="38" fillId="2" borderId="0" xfId="4" applyFill="1" applyAlignment="1">
      <alignment vertical="center"/>
    </xf>
    <xf numFmtId="0" fontId="38" fillId="0" borderId="76" xfId="4" applyBorder="1" applyAlignment="1">
      <alignment horizontal="center"/>
    </xf>
    <xf numFmtId="0" fontId="56" fillId="15" borderId="0" xfId="4" applyFont="1" applyFill="1"/>
    <xf numFmtId="0" fontId="57" fillId="15" borderId="0" xfId="4" applyFont="1" applyFill="1" applyAlignment="1">
      <alignment horizontal="center"/>
    </xf>
    <xf numFmtId="0" fontId="38" fillId="13" borderId="0" xfId="4" applyFill="1" applyAlignment="1">
      <alignment vertical="center"/>
    </xf>
    <xf numFmtId="0" fontId="38" fillId="16" borderId="71" xfId="4" applyFill="1" applyBorder="1" applyAlignment="1">
      <alignment horizontal="left"/>
    </xf>
    <xf numFmtId="0" fontId="38" fillId="16" borderId="10" xfId="4" applyFill="1" applyBorder="1" applyAlignment="1">
      <alignment horizontal="left"/>
    </xf>
    <xf numFmtId="10" fontId="38" fillId="16" borderId="10" xfId="4" applyNumberFormat="1" applyFill="1" applyBorder="1" applyAlignment="1">
      <alignment horizontal="center"/>
    </xf>
    <xf numFmtId="0" fontId="38" fillId="16" borderId="72" xfId="4" applyFill="1" applyBorder="1" applyAlignment="1">
      <alignment horizontal="left"/>
    </xf>
    <xf numFmtId="0" fontId="38" fillId="16" borderId="1" xfId="4" applyFill="1" applyBorder="1" applyAlignment="1">
      <alignment horizontal="left"/>
    </xf>
    <xf numFmtId="0" fontId="38" fillId="16" borderId="12" xfId="4" applyFill="1" applyBorder="1" applyAlignment="1">
      <alignment horizontal="left"/>
    </xf>
    <xf numFmtId="10" fontId="38" fillId="16" borderId="12" xfId="4" applyNumberFormat="1" applyFill="1" applyBorder="1" applyAlignment="1">
      <alignment horizontal="center"/>
    </xf>
    <xf numFmtId="0" fontId="38" fillId="16" borderId="2" xfId="4" applyFill="1" applyBorder="1" applyAlignment="1">
      <alignment horizontal="left"/>
    </xf>
    <xf numFmtId="0" fontId="38" fillId="16" borderId="11" xfId="4" applyFill="1" applyBorder="1" applyAlignment="1">
      <alignment horizontal="left"/>
    </xf>
    <xf numFmtId="0" fontId="38" fillId="16" borderId="0" xfId="4" applyFill="1" applyAlignment="1">
      <alignment horizontal="left"/>
    </xf>
    <xf numFmtId="0" fontId="38" fillId="16" borderId="0" xfId="4" applyFill="1" applyAlignment="1">
      <alignment horizontal="center"/>
    </xf>
    <xf numFmtId="0" fontId="38" fillId="16" borderId="73" xfId="4" applyFill="1" applyBorder="1" applyAlignment="1">
      <alignment horizontal="left"/>
    </xf>
    <xf numFmtId="0" fontId="38" fillId="16" borderId="85" xfId="4" applyFill="1" applyBorder="1" applyAlignment="1">
      <alignment horizontal="left" wrapText="1"/>
    </xf>
    <xf numFmtId="0" fontId="38" fillId="16" borderId="86" xfId="4" applyFill="1" applyBorder="1" applyAlignment="1">
      <alignment horizontal="left" wrapText="1"/>
    </xf>
    <xf numFmtId="0" fontId="38" fillId="16" borderId="87" xfId="4" applyFill="1" applyBorder="1" applyAlignment="1">
      <alignment wrapText="1"/>
    </xf>
    <xf numFmtId="0" fontId="38" fillId="16" borderId="88" xfId="4" applyFill="1" applyBorder="1" applyAlignment="1">
      <alignment wrapText="1"/>
    </xf>
    <xf numFmtId="0" fontId="38" fillId="16" borderId="74" xfId="4" applyFill="1" applyBorder="1" applyAlignment="1">
      <alignment horizontal="left" wrapText="1"/>
    </xf>
    <xf numFmtId="0" fontId="38" fillId="16" borderId="21" xfId="4" applyFill="1" applyBorder="1" applyAlignment="1">
      <alignment horizontal="left" wrapText="1"/>
    </xf>
    <xf numFmtId="0" fontId="38" fillId="16" borderId="75" xfId="4" applyFill="1" applyBorder="1" applyAlignment="1">
      <alignment wrapText="1"/>
    </xf>
    <xf numFmtId="0" fontId="38" fillId="16" borderId="89" xfId="4" applyFill="1" applyBorder="1" applyAlignment="1">
      <alignment wrapText="1"/>
    </xf>
    <xf numFmtId="0" fontId="38" fillId="16" borderId="90" xfId="4" applyFill="1" applyBorder="1" applyAlignment="1">
      <alignment horizontal="left" wrapText="1"/>
    </xf>
    <xf numFmtId="0" fontId="38" fillId="16" borderId="91" xfId="4" applyFill="1" applyBorder="1" applyAlignment="1">
      <alignment horizontal="left" wrapText="1"/>
    </xf>
    <xf numFmtId="0" fontId="38" fillId="16" borderId="92" xfId="4" applyFill="1" applyBorder="1" applyAlignment="1">
      <alignment wrapText="1"/>
    </xf>
    <xf numFmtId="0" fontId="38" fillId="16" borderId="93" xfId="4" applyFill="1" applyBorder="1" applyAlignment="1">
      <alignment wrapText="1"/>
    </xf>
    <xf numFmtId="0" fontId="38" fillId="16" borderId="10" xfId="4" applyFill="1" applyBorder="1" applyAlignment="1">
      <alignment horizontal="center"/>
    </xf>
    <xf numFmtId="0" fontId="38" fillId="16" borderId="72" xfId="4" applyFill="1" applyBorder="1"/>
    <xf numFmtId="9" fontId="0" fillId="16" borderId="6" xfId="6" applyFont="1" applyFill="1" applyBorder="1" applyAlignment="1">
      <alignment horizontal="center"/>
    </xf>
    <xf numFmtId="0" fontId="38" fillId="16" borderId="5" xfId="4" applyFill="1" applyBorder="1"/>
    <xf numFmtId="0" fontId="38" fillId="16" borderId="12" xfId="4" applyFill="1" applyBorder="1" applyAlignment="1">
      <alignment horizontal="center"/>
    </xf>
    <xf numFmtId="0" fontId="38" fillId="16" borderId="3" xfId="4" applyFill="1" applyBorder="1" applyAlignment="1">
      <alignment horizontal="left"/>
    </xf>
    <xf numFmtId="0" fontId="38" fillId="16" borderId="6" xfId="4" applyFill="1" applyBorder="1" applyAlignment="1">
      <alignment horizontal="left"/>
    </xf>
    <xf numFmtId="0" fontId="38" fillId="16" borderId="6" xfId="4" applyFill="1" applyBorder="1" applyAlignment="1">
      <alignment horizontal="center"/>
    </xf>
    <xf numFmtId="0" fontId="54" fillId="17" borderId="0" xfId="4" applyFont="1" applyFill="1"/>
    <xf numFmtId="0" fontId="55" fillId="18" borderId="3" xfId="4" applyFont="1" applyFill="1" applyBorder="1" applyAlignment="1">
      <alignment horizontal="left"/>
    </xf>
    <xf numFmtId="0" fontId="55" fillId="18" borderId="6" xfId="4" applyFont="1" applyFill="1" applyBorder="1" applyAlignment="1">
      <alignment horizontal="center"/>
    </xf>
    <xf numFmtId="0" fontId="55" fillId="18" borderId="5" xfId="4" applyFont="1" applyFill="1" applyBorder="1" applyAlignment="1">
      <alignment horizontal="center"/>
    </xf>
    <xf numFmtId="0" fontId="55" fillId="18" borderId="4" xfId="4" applyFont="1" applyFill="1" applyBorder="1" applyAlignment="1">
      <alignment horizontal="center" vertical="center" wrapText="1"/>
    </xf>
    <xf numFmtId="0" fontId="55" fillId="18" borderId="3" xfId="4" applyFont="1" applyFill="1" applyBorder="1" applyAlignment="1">
      <alignment horizontal="left" vertical="center"/>
    </xf>
    <xf numFmtId="0" fontId="55" fillId="18" borderId="0" xfId="4" applyFont="1" applyFill="1" applyAlignment="1">
      <alignment horizontal="center" vertical="center" wrapText="1"/>
    </xf>
    <xf numFmtId="0" fontId="38" fillId="16" borderId="91" xfId="4" applyFill="1" applyBorder="1" applyAlignment="1">
      <alignment horizontal="center"/>
    </xf>
    <xf numFmtId="0" fontId="38" fillId="16" borderId="96" xfId="4" applyFill="1" applyBorder="1"/>
    <xf numFmtId="0" fontId="38" fillId="16" borderId="95" xfId="4" applyFill="1" applyBorder="1" applyAlignment="1">
      <alignment horizontal="center"/>
    </xf>
    <xf numFmtId="0" fontId="38" fillId="16" borderId="88" xfId="4" applyFill="1" applyBorder="1"/>
    <xf numFmtId="0" fontId="38" fillId="16" borderId="98" xfId="4" applyFill="1" applyBorder="1" applyAlignment="1">
      <alignment horizontal="center"/>
    </xf>
    <xf numFmtId="0" fontId="38" fillId="16" borderId="93" xfId="4" applyFill="1" applyBorder="1"/>
    <xf numFmtId="0" fontId="59" fillId="19" borderId="0" xfId="4" applyFont="1" applyFill="1"/>
    <xf numFmtId="0" fontId="38" fillId="14" borderId="21" xfId="4" applyFill="1" applyBorder="1"/>
    <xf numFmtId="0" fontId="38" fillId="14" borderId="83" xfId="4" applyFill="1" applyBorder="1"/>
    <xf numFmtId="0" fontId="14" fillId="2" borderId="0" xfId="0" applyFont="1" applyFill="1"/>
    <xf numFmtId="0" fontId="14" fillId="2" borderId="0" xfId="0" applyFont="1" applyFill="1" applyAlignment="1">
      <alignment horizontal="center" vertical="center" wrapText="1"/>
    </xf>
    <xf numFmtId="0" fontId="14" fillId="2" borderId="0" xfId="0" applyFont="1" applyFill="1" applyAlignment="1">
      <alignment horizontal="left" vertical="center"/>
    </xf>
    <xf numFmtId="0" fontId="39" fillId="0" borderId="0" xfId="0" applyFont="1" applyAlignment="1">
      <alignment horizontal="left" vertical="top"/>
    </xf>
    <xf numFmtId="167" fontId="5" fillId="0" borderId="63" xfId="0" applyNumberFormat="1" applyFont="1" applyBorder="1" applyAlignment="1">
      <alignment horizontal="center" vertical="center" wrapText="1"/>
    </xf>
    <xf numFmtId="175" fontId="5" fillId="0" borderId="63" xfId="0" applyNumberFormat="1" applyFont="1" applyBorder="1" applyAlignment="1">
      <alignment horizontal="center" vertical="center"/>
    </xf>
    <xf numFmtId="167" fontId="5" fillId="14" borderId="63" xfId="0" applyNumberFormat="1" applyFont="1" applyFill="1" applyBorder="1" applyAlignment="1">
      <alignment horizontal="center" vertical="center" wrapText="1"/>
    </xf>
    <xf numFmtId="0" fontId="0" fillId="2" borderId="147" xfId="0" applyFill="1" applyBorder="1"/>
    <xf numFmtId="0" fontId="5" fillId="2" borderId="149" xfId="0" applyFont="1" applyFill="1" applyBorder="1"/>
    <xf numFmtId="0" fontId="5" fillId="2" borderId="150" xfId="0" applyFont="1" applyFill="1" applyBorder="1"/>
    <xf numFmtId="0" fontId="0" fillId="2" borderId="0" xfId="0" applyFill="1" applyAlignment="1">
      <alignment horizontal="center"/>
    </xf>
    <xf numFmtId="175" fontId="5" fillId="7" borderId="22" xfId="0" applyNumberFormat="1" applyFont="1" applyFill="1" applyBorder="1" applyAlignment="1">
      <alignment horizontal="center" vertical="center" wrapText="1"/>
    </xf>
    <xf numFmtId="175" fontId="5" fillId="7" borderId="63" xfId="0" applyNumberFormat="1" applyFont="1" applyFill="1" applyBorder="1" applyAlignment="1">
      <alignment horizontal="center" vertical="center" wrapText="1"/>
    </xf>
    <xf numFmtId="0" fontId="5" fillId="4" borderId="63" xfId="0" applyFont="1" applyFill="1" applyBorder="1" applyAlignment="1">
      <alignment horizontal="justify" vertical="center" wrapText="1"/>
    </xf>
    <xf numFmtId="0" fontId="5" fillId="7" borderId="22" xfId="0" applyFont="1" applyFill="1" applyBorder="1" applyAlignment="1">
      <alignment horizontal="center" vertical="center" wrapText="1"/>
    </xf>
    <xf numFmtId="0" fontId="5" fillId="7" borderId="63" xfId="0" applyFont="1" applyFill="1" applyBorder="1" applyAlignment="1">
      <alignment horizontal="center" vertical="center" wrapText="1"/>
    </xf>
    <xf numFmtId="0" fontId="43" fillId="0" borderId="63" xfId="0" applyFont="1" applyBorder="1" applyAlignment="1">
      <alignment horizontal="center" vertical="center" wrapText="1"/>
    </xf>
    <xf numFmtId="164" fontId="43" fillId="0" borderId="63" xfId="0" applyNumberFormat="1" applyFont="1" applyBorder="1" applyAlignment="1">
      <alignment horizontal="left" vertical="center"/>
    </xf>
    <xf numFmtId="177" fontId="43" fillId="0" borderId="63" xfId="0" applyNumberFormat="1" applyFont="1" applyBorder="1" applyAlignment="1">
      <alignment horizontal="center" vertical="center" wrapText="1"/>
    </xf>
    <xf numFmtId="0" fontId="43" fillId="0" borderId="63" xfId="0" applyFont="1" applyBorder="1" applyAlignment="1">
      <alignment horizontal="justify" vertical="center" wrapText="1"/>
    </xf>
    <xf numFmtId="171" fontId="43" fillId="0" borderId="63" xfId="0" applyNumberFormat="1" applyFont="1" applyBorder="1"/>
    <xf numFmtId="0" fontId="43" fillId="12" borderId="63" xfId="0" applyFont="1" applyFill="1" applyBorder="1" applyAlignment="1">
      <alignment horizontal="justify" vertical="center" wrapText="1"/>
    </xf>
    <xf numFmtId="0" fontId="43" fillId="12" borderId="63" xfId="0" applyFont="1" applyFill="1" applyBorder="1" applyAlignment="1">
      <alignment horizontal="left" vertical="center" wrapText="1"/>
    </xf>
    <xf numFmtId="0" fontId="43" fillId="0" borderId="63" xfId="0" applyFont="1" applyBorder="1" applyAlignment="1">
      <alignment horizontal="left" vertical="center" wrapText="1"/>
    </xf>
    <xf numFmtId="0" fontId="73" fillId="17" borderId="0" xfId="4" applyFont="1" applyFill="1"/>
    <xf numFmtId="0" fontId="74" fillId="0" borderId="0" xfId="4" applyFont="1"/>
    <xf numFmtId="0" fontId="5" fillId="2" borderId="131" xfId="0" applyFont="1" applyFill="1" applyBorder="1"/>
    <xf numFmtId="0" fontId="46" fillId="2" borderId="129" xfId="0" applyFont="1" applyFill="1" applyBorder="1" applyAlignment="1">
      <alignment horizontal="center" vertical="center" wrapText="1"/>
    </xf>
    <xf numFmtId="0" fontId="46" fillId="2" borderId="131" xfId="0" applyFont="1" applyFill="1" applyBorder="1" applyAlignment="1">
      <alignment horizontal="center" vertical="center" wrapText="1"/>
    </xf>
    <xf numFmtId="0" fontId="45" fillId="2" borderId="131" xfId="0" applyFont="1" applyFill="1" applyBorder="1" applyAlignment="1">
      <alignment horizontal="center" vertical="center" wrapText="1"/>
    </xf>
    <xf numFmtId="0" fontId="45" fillId="2" borderId="131" xfId="0" applyFont="1" applyFill="1" applyBorder="1" applyAlignment="1">
      <alignment horizontal="center" vertical="center"/>
    </xf>
    <xf numFmtId="0" fontId="45" fillId="2" borderId="117" xfId="0" applyFont="1" applyFill="1" applyBorder="1" applyAlignment="1">
      <alignment vertical="center"/>
    </xf>
    <xf numFmtId="0" fontId="45" fillId="2" borderId="131" xfId="0" applyFont="1" applyFill="1" applyBorder="1" applyAlignment="1">
      <alignment horizontal="center" wrapText="1"/>
    </xf>
    <xf numFmtId="0" fontId="13" fillId="2" borderId="0" xfId="0" applyFont="1" applyFill="1"/>
    <xf numFmtId="0" fontId="60" fillId="2" borderId="0" xfId="0" applyFont="1" applyFill="1" applyAlignment="1">
      <alignment horizontal="center" vertical="center"/>
    </xf>
    <xf numFmtId="0" fontId="60" fillId="2" borderId="131" xfId="0" applyFont="1" applyFill="1" applyBorder="1" applyAlignment="1">
      <alignment horizontal="center" vertical="center"/>
    </xf>
    <xf numFmtId="0" fontId="60" fillId="2" borderId="132" xfId="0" applyFont="1" applyFill="1" applyBorder="1" applyAlignment="1">
      <alignment horizontal="center" vertical="center"/>
    </xf>
    <xf numFmtId="0" fontId="0" fillId="0" borderId="7" xfId="0" applyBorder="1"/>
    <xf numFmtId="0" fontId="77" fillId="2" borderId="131" xfId="0" applyFont="1" applyFill="1" applyBorder="1" applyAlignment="1">
      <alignment horizontal="center" vertical="center" wrapText="1"/>
    </xf>
    <xf numFmtId="0" fontId="78" fillId="2" borderId="131" xfId="0" applyFont="1" applyFill="1" applyBorder="1" applyAlignment="1">
      <alignment horizontal="center" vertical="center"/>
    </xf>
    <xf numFmtId="0" fontId="0" fillId="2" borderId="7" xfId="0" applyFill="1" applyBorder="1"/>
    <xf numFmtId="0" fontId="0" fillId="2" borderId="73" xfId="0" applyFill="1" applyBorder="1"/>
    <xf numFmtId="0" fontId="80" fillId="26" borderId="0" xfId="0" applyFont="1" applyFill="1" applyAlignment="1">
      <alignment vertical="center"/>
    </xf>
    <xf numFmtId="0" fontId="0" fillId="26" borderId="0" xfId="0" applyFill="1"/>
    <xf numFmtId="0" fontId="0" fillId="26" borderId="7" xfId="0" applyFill="1" applyBorder="1"/>
    <xf numFmtId="0" fontId="81" fillId="26" borderId="0" xfId="0" applyFont="1" applyFill="1" applyAlignment="1">
      <alignment vertical="center"/>
    </xf>
    <xf numFmtId="0" fontId="0" fillId="0" borderId="9" xfId="0" applyBorder="1"/>
    <xf numFmtId="0" fontId="5" fillId="2" borderId="11" xfId="0" applyFont="1" applyFill="1" applyBorder="1"/>
    <xf numFmtId="0" fontId="5" fillId="2" borderId="73" xfId="0" applyFont="1" applyFill="1" applyBorder="1" applyAlignment="1">
      <alignment vertical="center" wrapText="1"/>
    </xf>
    <xf numFmtId="0" fontId="5" fillId="0" borderId="11" xfId="0" applyFont="1" applyBorder="1"/>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5" fillId="0" borderId="9" xfId="0" applyFont="1" applyBorder="1" applyAlignment="1">
      <alignment vertical="center" wrapText="1"/>
    </xf>
    <xf numFmtId="0" fontId="0" fillId="7" borderId="73" xfId="0" applyFill="1" applyBorder="1"/>
    <xf numFmtId="0" fontId="5" fillId="7" borderId="153" xfId="0" applyFont="1" applyFill="1" applyBorder="1" applyAlignment="1">
      <alignment vertical="center" wrapText="1"/>
    </xf>
    <xf numFmtId="0" fontId="85" fillId="27" borderId="7" xfId="0" applyFont="1" applyFill="1" applyBorder="1" applyAlignment="1">
      <alignment horizontal="center" vertical="center"/>
    </xf>
    <xf numFmtId="0" fontId="86" fillId="27" borderId="7" xfId="0" applyFont="1" applyFill="1" applyBorder="1"/>
    <xf numFmtId="0" fontId="86" fillId="27" borderId="0" xfId="0" applyFont="1" applyFill="1"/>
    <xf numFmtId="0" fontId="0" fillId="27" borderId="0" xfId="0" applyFill="1"/>
    <xf numFmtId="0" fontId="5" fillId="28" borderId="9" xfId="0" applyFont="1" applyFill="1" applyBorder="1" applyAlignment="1">
      <alignment horizontal="center" vertical="center" wrapText="1"/>
    </xf>
    <xf numFmtId="0" fontId="5" fillId="28" borderId="9" xfId="0" applyFont="1" applyFill="1" applyBorder="1" applyAlignment="1">
      <alignment vertical="center" wrapText="1"/>
    </xf>
    <xf numFmtId="0" fontId="5" fillId="28" borderId="9" xfId="0" applyFont="1" applyFill="1" applyBorder="1"/>
    <xf numFmtId="0" fontId="5" fillId="28" borderId="180" xfId="0" applyFont="1" applyFill="1" applyBorder="1"/>
    <xf numFmtId="0" fontId="85" fillId="27" borderId="7" xfId="0" applyFont="1" applyFill="1" applyBorder="1" applyAlignment="1">
      <alignment horizontal="right"/>
    </xf>
    <xf numFmtId="0" fontId="5" fillId="5" borderId="9" xfId="0" applyFont="1" applyFill="1" applyBorder="1" applyAlignment="1">
      <alignment vertical="center" wrapText="1"/>
    </xf>
    <xf numFmtId="0" fontId="5" fillId="5" borderId="9" xfId="0" applyFont="1" applyFill="1" applyBorder="1" applyAlignment="1">
      <alignment horizontal="center" vertical="center" wrapText="1"/>
    </xf>
    <xf numFmtId="0" fontId="5" fillId="5" borderId="9" xfId="0" applyFont="1" applyFill="1" applyBorder="1"/>
    <xf numFmtId="0" fontId="5" fillId="5" borderId="180" xfId="0" applyFont="1" applyFill="1" applyBorder="1"/>
    <xf numFmtId="0" fontId="5" fillId="0" borderId="9" xfId="0" applyFont="1" applyBorder="1" applyAlignment="1">
      <alignment horizontal="center" vertical="center" wrapText="1"/>
    </xf>
    <xf numFmtId="0" fontId="5" fillId="0" borderId="9" xfId="0" applyFont="1" applyBorder="1"/>
    <xf numFmtId="0" fontId="5" fillId="0" borderId="180" xfId="0" applyFont="1" applyBorder="1"/>
    <xf numFmtId="0" fontId="14" fillId="0" borderId="0" xfId="0" applyFont="1"/>
    <xf numFmtId="0" fontId="87" fillId="0" borderId="7" xfId="0" applyFont="1" applyBorder="1"/>
    <xf numFmtId="0" fontId="5" fillId="2" borderId="11" xfId="0" applyFont="1" applyFill="1" applyBorder="1" applyAlignment="1">
      <alignment wrapText="1"/>
    </xf>
    <xf numFmtId="0" fontId="5" fillId="2" borderId="0" xfId="0" applyFont="1" applyFill="1" applyAlignment="1">
      <alignment wrapText="1"/>
    </xf>
    <xf numFmtId="9" fontId="5" fillId="2" borderId="0" xfId="0" applyNumberFormat="1" applyFont="1" applyFill="1"/>
    <xf numFmtId="0" fontId="5" fillId="2" borderId="7" xfId="0" applyFont="1" applyFill="1" applyBorder="1"/>
    <xf numFmtId="0" fontId="88" fillId="0" borderId="7" xfId="0" applyFont="1" applyBorder="1" applyAlignment="1">
      <alignment vertical="center"/>
    </xf>
    <xf numFmtId="0" fontId="5" fillId="2" borderId="1" xfId="0" applyFont="1" applyFill="1" applyBorder="1" applyAlignment="1">
      <alignment horizontal="center" vertical="top"/>
    </xf>
    <xf numFmtId="0" fontId="5" fillId="2" borderId="12" xfId="0" applyFont="1" applyFill="1" applyBorder="1" applyAlignment="1">
      <alignment horizontal="center" vertical="top"/>
    </xf>
    <xf numFmtId="0" fontId="88" fillId="0" borderId="7" xfId="0" applyFont="1" applyBorder="1" applyAlignment="1">
      <alignment horizontal="center" vertical="center"/>
    </xf>
    <xf numFmtId="0" fontId="4" fillId="29" borderId="0" xfId="0" applyFont="1" applyFill="1"/>
    <xf numFmtId="0" fontId="35" fillId="9" borderId="183" xfId="0" applyFont="1" applyFill="1" applyBorder="1"/>
    <xf numFmtId="0" fontId="35" fillId="9" borderId="9" xfId="0" applyFont="1" applyFill="1" applyBorder="1"/>
    <xf numFmtId="0" fontId="40" fillId="9" borderId="9" xfId="0" applyFont="1" applyFill="1" applyBorder="1"/>
    <xf numFmtId="0" fontId="35" fillId="4" borderId="183" xfId="0" applyFont="1" applyFill="1" applyBorder="1"/>
    <xf numFmtId="0" fontId="35" fillId="5" borderId="9" xfId="0" applyFont="1" applyFill="1" applyBorder="1"/>
    <xf numFmtId="0" fontId="35" fillId="0" borderId="9" xfId="0" applyFont="1" applyBorder="1"/>
    <xf numFmtId="0" fontId="35" fillId="0" borderId="183" xfId="0" applyFont="1" applyBorder="1"/>
    <xf numFmtId="0" fontId="35" fillId="5" borderId="9" xfId="0" applyFont="1" applyFill="1" applyBorder="1" applyAlignment="1">
      <alignment horizontal="center" vertical="center" wrapText="1"/>
    </xf>
    <xf numFmtId="0" fontId="40" fillId="5" borderId="9" xfId="0" applyFont="1" applyFill="1" applyBorder="1" applyAlignment="1">
      <alignment horizontal="center" vertical="center" wrapText="1"/>
    </xf>
    <xf numFmtId="0" fontId="40" fillId="2" borderId="9" xfId="0" applyFont="1" applyFill="1" applyBorder="1"/>
    <xf numFmtId="0" fontId="35" fillId="4" borderId="188" xfId="0" applyFont="1" applyFill="1" applyBorder="1"/>
    <xf numFmtId="0" fontId="35" fillId="0" borderId="9" xfId="0" applyFont="1" applyBorder="1" applyAlignment="1">
      <alignment vertical="center"/>
    </xf>
    <xf numFmtId="0" fontId="35" fillId="0" borderId="183" xfId="0" applyFont="1" applyBorder="1" applyAlignment="1">
      <alignment vertical="center"/>
    </xf>
    <xf numFmtId="0" fontId="40" fillId="0" borderId="9" xfId="0" applyFont="1" applyBorder="1"/>
    <xf numFmtId="0" fontId="35" fillId="5" borderId="183" xfId="0" applyFont="1" applyFill="1" applyBorder="1"/>
    <xf numFmtId="0" fontId="35" fillId="2" borderId="0" xfId="0" applyFont="1" applyFill="1"/>
    <xf numFmtId="0" fontId="11" fillId="0" borderId="0" xfId="0" applyFont="1" applyAlignment="1">
      <alignment horizontal="center" vertical="center" wrapText="1"/>
    </xf>
    <xf numFmtId="0" fontId="35" fillId="0" borderId="0" xfId="0" applyFont="1"/>
    <xf numFmtId="0" fontId="35" fillId="24" borderId="9" xfId="0" applyFont="1" applyFill="1" applyBorder="1"/>
    <xf numFmtId="0" fontId="0" fillId="5" borderId="9" xfId="0" applyFill="1" applyBorder="1"/>
    <xf numFmtId="0" fontId="5" fillId="0" borderId="0" xfId="0" applyFont="1" applyAlignment="1">
      <alignment horizontal="center" vertical="center" wrapText="1"/>
    </xf>
    <xf numFmtId="0" fontId="5" fillId="5" borderId="9" xfId="0" applyFont="1" applyFill="1" applyBorder="1" applyAlignment="1">
      <alignment vertical="center"/>
    </xf>
    <xf numFmtId="0" fontId="5" fillId="5" borderId="180" xfId="0" applyFont="1" applyFill="1" applyBorder="1" applyAlignment="1">
      <alignment vertical="center"/>
    </xf>
    <xf numFmtId="0" fontId="5" fillId="5" borderId="153" xfId="0" applyFont="1" applyFill="1" applyBorder="1" applyAlignment="1">
      <alignment vertical="center"/>
    </xf>
    <xf numFmtId="0" fontId="5" fillId="7" borderId="0" xfId="0" applyFont="1" applyFill="1" applyAlignment="1">
      <alignment horizontal="center" wrapText="1"/>
    </xf>
    <xf numFmtId="0" fontId="5" fillId="7" borderId="73" xfId="0" applyFont="1" applyFill="1" applyBorder="1" applyAlignment="1">
      <alignment horizontal="center" wrapText="1"/>
    </xf>
    <xf numFmtId="169" fontId="5" fillId="4" borderId="9" xfId="0" applyNumberFormat="1" applyFont="1" applyFill="1" applyBorder="1" applyAlignment="1">
      <alignment horizontal="left" vertical="center" wrapText="1"/>
    </xf>
    <xf numFmtId="168" fontId="5" fillId="0" borderId="9" xfId="0" applyNumberFormat="1" applyFont="1" applyBorder="1"/>
    <xf numFmtId="0" fontId="5" fillId="28" borderId="11" xfId="0" applyFont="1" applyFill="1" applyBorder="1" applyAlignment="1">
      <alignment horizontal="left" wrapText="1"/>
    </xf>
    <xf numFmtId="0" fontId="0" fillId="28" borderId="0" xfId="0" applyFill="1"/>
    <xf numFmtId="0" fontId="5" fillId="28" borderId="0" xfId="0" applyFont="1" applyFill="1" applyAlignment="1">
      <alignment horizontal="center" wrapText="1"/>
    </xf>
    <xf numFmtId="0" fontId="5" fillId="0" borderId="9" xfId="0" applyFont="1" applyBorder="1" applyAlignment="1">
      <alignment horizontal="left" wrapText="1"/>
    </xf>
    <xf numFmtId="169" fontId="5" fillId="4" borderId="183" xfId="0" applyNumberFormat="1" applyFont="1" applyFill="1" applyBorder="1" applyAlignment="1">
      <alignment horizontal="left" vertical="center" wrapText="1"/>
    </xf>
    <xf numFmtId="0" fontId="5" fillId="0" borderId="9" xfId="0" applyFont="1" applyBorder="1" applyAlignment="1">
      <alignment horizontal="center" wrapText="1"/>
    </xf>
    <xf numFmtId="0" fontId="20" fillId="7" borderId="0" xfId="0" applyFont="1" applyFill="1"/>
    <xf numFmtId="169" fontId="5" fillId="4" borderId="195" xfId="0" applyNumberFormat="1" applyFont="1" applyFill="1" applyBorder="1" applyAlignment="1">
      <alignment horizontal="left" vertical="center" wrapText="1"/>
    </xf>
    <xf numFmtId="168" fontId="5" fillId="0" borderId="195" xfId="0" applyNumberFormat="1" applyFont="1" applyBorder="1"/>
    <xf numFmtId="0" fontId="11" fillId="7" borderId="12" xfId="0" applyFont="1" applyFill="1" applyBorder="1" applyAlignment="1">
      <alignment vertical="top"/>
    </xf>
    <xf numFmtId="0" fontId="5" fillId="7" borderId="12" xfId="0" applyFont="1" applyFill="1" applyBorder="1"/>
    <xf numFmtId="0" fontId="0" fillId="7" borderId="2" xfId="0" applyFill="1" applyBorder="1"/>
    <xf numFmtId="0" fontId="76" fillId="6" borderId="9" xfId="0" applyFont="1" applyFill="1" applyBorder="1"/>
    <xf numFmtId="0" fontId="5" fillId="4" borderId="9" xfId="0" applyFont="1" applyFill="1" applyBorder="1"/>
    <xf numFmtId="0" fontId="36" fillId="4" borderId="9" xfId="0" applyFont="1" applyFill="1" applyBorder="1"/>
    <xf numFmtId="0" fontId="5" fillId="0" borderId="0" xfId="0" applyFont="1" applyAlignment="1">
      <alignment horizontal="right" vertical="center" wrapText="1"/>
    </xf>
    <xf numFmtId="168" fontId="5" fillId="0" borderId="0" xfId="0" applyNumberFormat="1" applyFont="1"/>
    <xf numFmtId="0" fontId="11" fillId="0" borderId="0" xfId="0" applyFont="1" applyAlignment="1">
      <alignment vertical="top"/>
    </xf>
    <xf numFmtId="0" fontId="5" fillId="0" borderId="0" xfId="0" applyFont="1"/>
    <xf numFmtId="0" fontId="11" fillId="0" borderId="0" xfId="0" applyFont="1" applyAlignment="1">
      <alignment horizontal="right" vertical="center"/>
    </xf>
    <xf numFmtId="0" fontId="5" fillId="7" borderId="0" xfId="0" applyFont="1" applyFill="1" applyAlignment="1">
      <alignment vertical="center"/>
    </xf>
    <xf numFmtId="0" fontId="5" fillId="7" borderId="0" xfId="0" applyFont="1" applyFill="1" applyAlignment="1">
      <alignment horizontal="center" vertical="center"/>
    </xf>
    <xf numFmtId="0" fontId="5" fillId="4" borderId="0" xfId="0" applyFont="1" applyFill="1" applyAlignment="1">
      <alignment horizontal="center"/>
    </xf>
    <xf numFmtId="0" fontId="12" fillId="4" borderId="0" xfId="0" applyFont="1" applyFill="1" applyAlignment="1">
      <alignment horizontal="center"/>
    </xf>
    <xf numFmtId="0" fontId="5" fillId="0" borderId="9" xfId="0" applyFont="1" applyBorder="1" applyAlignment="1">
      <alignment horizontal="center"/>
    </xf>
    <xf numFmtId="0" fontId="5" fillId="0" borderId="0" xfId="0" applyFont="1" applyAlignment="1">
      <alignment horizontal="center"/>
    </xf>
    <xf numFmtId="0" fontId="76" fillId="7" borderId="0" xfId="0" applyFont="1" applyFill="1"/>
    <xf numFmtId="0" fontId="5" fillId="4" borderId="9" xfId="0" applyFont="1" applyFill="1" applyBorder="1" applyAlignment="1">
      <alignment horizontal="justify" vertical="center" wrapText="1"/>
    </xf>
    <xf numFmtId="0" fontId="5" fillId="4" borderId="180" xfId="0" applyFont="1" applyFill="1" applyBorder="1" applyAlignment="1">
      <alignment horizontal="justify" vertical="center" wrapText="1"/>
    </xf>
    <xf numFmtId="0" fontId="5" fillId="4" borderId="9" xfId="0" applyFont="1" applyFill="1" applyBorder="1" applyAlignment="1">
      <alignment horizontal="left"/>
    </xf>
    <xf numFmtId="0" fontId="5" fillId="0" borderId="9" xfId="0" applyFont="1" applyBorder="1" applyAlignment="1">
      <alignment horizontal="left" vertical="center" wrapText="1"/>
    </xf>
    <xf numFmtId="0" fontId="5" fillId="0" borderId="180" xfId="0" applyFont="1" applyBorder="1" applyAlignment="1">
      <alignment horizontal="left" vertical="center" wrapText="1"/>
    </xf>
    <xf numFmtId="0" fontId="5" fillId="5" borderId="9" xfId="0" applyFont="1" applyFill="1" applyBorder="1" applyAlignment="1">
      <alignment horizontal="left" vertical="center" wrapText="1"/>
    </xf>
    <xf numFmtId="0" fontId="5" fillId="5" borderId="180" xfId="0" applyFont="1" applyFill="1" applyBorder="1" applyAlignment="1">
      <alignment horizontal="left" vertical="center" wrapText="1"/>
    </xf>
    <xf numFmtId="0" fontId="4" fillId="30" borderId="0" xfId="0" applyFont="1" applyFill="1"/>
    <xf numFmtId="0" fontId="4" fillId="20" borderId="0" xfId="0" applyFont="1" applyFill="1"/>
    <xf numFmtId="0" fontId="75" fillId="2" borderId="53" xfId="0" applyFont="1" applyFill="1" applyBorder="1" applyAlignment="1">
      <alignment horizontal="center" vertical="center"/>
    </xf>
    <xf numFmtId="0" fontId="18" fillId="2" borderId="28" xfId="0" applyFont="1" applyFill="1" applyBorder="1"/>
    <xf numFmtId="0" fontId="18" fillId="2" borderId="22" xfId="0" applyFont="1" applyFill="1" applyBorder="1"/>
    <xf numFmtId="0" fontId="18" fillId="2" borderId="22" xfId="0" applyFont="1" applyFill="1" applyBorder="1" applyAlignment="1">
      <alignment horizontal="center" vertical="center"/>
    </xf>
    <xf numFmtId="0" fontId="18" fillId="2" borderId="23" xfId="0" applyFont="1" applyFill="1" applyBorder="1" applyAlignment="1">
      <alignment horizontal="center" vertical="center"/>
    </xf>
    <xf numFmtId="167" fontId="23" fillId="2" borderId="22" xfId="0" applyNumberFormat="1" applyFont="1" applyFill="1" applyBorder="1" applyAlignment="1">
      <alignment horizontal="center" vertical="center" wrapText="1"/>
    </xf>
    <xf numFmtId="164" fontId="23" fillId="2" borderId="22" xfId="0" applyNumberFormat="1" applyFont="1" applyFill="1" applyBorder="1" applyAlignment="1">
      <alignment horizontal="center" vertical="center" wrapText="1"/>
    </xf>
    <xf numFmtId="177" fontId="23" fillId="2" borderId="22" xfId="0" applyNumberFormat="1" applyFont="1" applyFill="1" applyBorder="1" applyAlignment="1">
      <alignment horizontal="center" vertical="center" wrapText="1"/>
    </xf>
    <xf numFmtId="178" fontId="23" fillId="2" borderId="22" xfId="0" applyNumberFormat="1" applyFont="1" applyFill="1" applyBorder="1" applyAlignment="1">
      <alignment horizontal="center" vertical="center" wrapText="1"/>
    </xf>
    <xf numFmtId="178" fontId="23" fillId="2" borderId="63" xfId="0" applyNumberFormat="1" applyFont="1" applyFill="1" applyBorder="1" applyAlignment="1">
      <alignment horizontal="center" vertical="center" wrapText="1"/>
    </xf>
    <xf numFmtId="0" fontId="23" fillId="2" borderId="22" xfId="0" applyFont="1" applyFill="1" applyBorder="1" applyAlignment="1">
      <alignment horizontal="center" vertical="center" wrapText="1"/>
    </xf>
    <xf numFmtId="175" fontId="23" fillId="2" borderId="22" xfId="0" applyNumberFormat="1" applyFont="1" applyFill="1" applyBorder="1" applyAlignment="1">
      <alignment horizontal="center" vertical="center" wrapText="1"/>
    </xf>
    <xf numFmtId="168" fontId="42" fillId="2" borderId="22" xfId="0" applyNumberFormat="1" applyFont="1" applyFill="1" applyBorder="1" applyAlignment="1">
      <alignment horizontal="left" vertical="center" wrapText="1"/>
    </xf>
    <xf numFmtId="164" fontId="12" fillId="2" borderId="24" xfId="0" applyNumberFormat="1" applyFont="1" applyFill="1" applyBorder="1" applyAlignment="1">
      <alignment horizontal="right" vertical="center"/>
    </xf>
    <xf numFmtId="9" fontId="28" fillId="2" borderId="25" xfId="3" applyFont="1" applyFill="1" applyBorder="1" applyAlignment="1">
      <alignment horizontal="left" vertical="center"/>
    </xf>
    <xf numFmtId="9" fontId="23" fillId="2" borderId="22" xfId="0" applyNumberFormat="1" applyFont="1" applyFill="1" applyBorder="1" applyAlignment="1">
      <alignment horizontal="center"/>
    </xf>
    <xf numFmtId="0" fontId="18" fillId="2" borderId="20" xfId="0" applyFont="1" applyFill="1" applyBorder="1" applyAlignment="1">
      <alignment horizontal="center" vertical="center"/>
    </xf>
    <xf numFmtId="0" fontId="28" fillId="2" borderId="18" xfId="0" applyFont="1" applyFill="1" applyBorder="1" applyAlignment="1">
      <alignment vertical="top"/>
    </xf>
    <xf numFmtId="0" fontId="91" fillId="2" borderId="144" xfId="0" applyFont="1" applyFill="1" applyBorder="1" applyAlignment="1">
      <alignment horizontal="left" vertical="center"/>
    </xf>
    <xf numFmtId="0" fontId="92" fillId="2" borderId="145" xfId="0" applyFont="1" applyFill="1" applyBorder="1"/>
    <xf numFmtId="0" fontId="93" fillId="2" borderId="145" xfId="0" applyFont="1" applyFill="1" applyBorder="1" applyAlignment="1">
      <alignment horizontal="left" vertical="center"/>
    </xf>
    <xf numFmtId="0" fontId="94" fillId="2" borderId="145" xfId="0" applyFont="1" applyFill="1" applyBorder="1"/>
    <xf numFmtId="0" fontId="94" fillId="2" borderId="124" xfId="0" applyFont="1" applyFill="1" applyBorder="1"/>
    <xf numFmtId="0" fontId="95" fillId="2" borderId="124" xfId="0" applyFont="1" applyFill="1" applyBorder="1"/>
    <xf numFmtId="0" fontId="95" fillId="2" borderId="125" xfId="0" applyFont="1" applyFill="1" applyBorder="1"/>
    <xf numFmtId="0" fontId="97" fillId="2" borderId="32" xfId="0" applyFont="1" applyFill="1" applyBorder="1"/>
    <xf numFmtId="0" fontId="12" fillId="2" borderId="33" xfId="0" applyFont="1" applyFill="1" applyBorder="1"/>
    <xf numFmtId="0" fontId="23" fillId="2" borderId="33" xfId="0" applyFont="1" applyFill="1" applyBorder="1"/>
    <xf numFmtId="0" fontId="23" fillId="2" borderId="147" xfId="0" applyFont="1" applyFill="1" applyBorder="1"/>
    <xf numFmtId="0" fontId="12" fillId="2" borderId="37" xfId="0" applyFont="1" applyFill="1" applyBorder="1"/>
    <xf numFmtId="0" fontId="12" fillId="2" borderId="68" xfId="0" applyFont="1" applyFill="1" applyBorder="1"/>
    <xf numFmtId="0" fontId="12" fillId="2" borderId="149" xfId="0" applyFont="1" applyFill="1" applyBorder="1"/>
    <xf numFmtId="0" fontId="12" fillId="2" borderId="150" xfId="0" applyFont="1" applyFill="1" applyBorder="1"/>
    <xf numFmtId="0" fontId="98" fillId="2" borderId="129" xfId="0" applyFont="1" applyFill="1" applyBorder="1" applyAlignment="1">
      <alignment horizontal="center" vertical="center" wrapText="1"/>
    </xf>
    <xf numFmtId="0" fontId="98" fillId="2" borderId="131" xfId="0" applyFont="1" applyFill="1" applyBorder="1" applyAlignment="1">
      <alignment horizontal="center" vertical="center" wrapText="1"/>
    </xf>
    <xf numFmtId="0" fontId="12" fillId="2" borderId="131" xfId="0" applyFont="1" applyFill="1" applyBorder="1"/>
    <xf numFmtId="0" fontId="51" fillId="2" borderId="131" xfId="0" applyFont="1" applyFill="1" applyBorder="1" applyAlignment="1">
      <alignment horizontal="center" vertical="center"/>
    </xf>
    <xf numFmtId="0" fontId="51" fillId="2" borderId="132" xfId="0" applyFont="1" applyFill="1" applyBorder="1" applyAlignment="1">
      <alignment horizontal="center" vertical="center"/>
    </xf>
    <xf numFmtId="0" fontId="96" fillId="2" borderId="131" xfId="0" applyFont="1" applyFill="1" applyBorder="1" applyAlignment="1">
      <alignment horizontal="center" vertical="center" wrapText="1"/>
    </xf>
    <xf numFmtId="0" fontId="96" fillId="2" borderId="131" xfId="0" applyFont="1" applyFill="1" applyBorder="1" applyAlignment="1">
      <alignment horizontal="center" vertical="center"/>
    </xf>
    <xf numFmtId="0" fontId="96" fillId="2" borderId="117" xfId="0" applyFont="1" applyFill="1" applyBorder="1" applyAlignment="1">
      <alignment vertical="center"/>
    </xf>
    <xf numFmtId="0" fontId="96" fillId="2" borderId="131" xfId="0" applyFont="1" applyFill="1" applyBorder="1" applyAlignment="1">
      <alignment horizontal="center" wrapText="1"/>
    </xf>
    <xf numFmtId="0" fontId="23" fillId="2" borderId="0" xfId="0" applyFont="1" applyFill="1"/>
    <xf numFmtId="17" fontId="12" fillId="2" borderId="22" xfId="0" applyNumberFormat="1" applyFont="1" applyFill="1" applyBorder="1"/>
    <xf numFmtId="0" fontId="12" fillId="2" borderId="22" xfId="0" applyFont="1" applyFill="1" applyBorder="1" applyAlignment="1">
      <alignment horizontal="right"/>
    </xf>
    <xf numFmtId="17" fontId="12" fillId="2" borderId="22" xfId="0" applyNumberFormat="1" applyFont="1" applyFill="1" applyBorder="1" applyAlignment="1">
      <alignment vertical="center"/>
    </xf>
    <xf numFmtId="0" fontId="12" fillId="2" borderId="22" xfId="0" applyFont="1" applyFill="1" applyBorder="1" applyAlignment="1">
      <alignment vertical="center"/>
    </xf>
    <xf numFmtId="0" fontId="12" fillId="2" borderId="28" xfId="0" applyFont="1" applyFill="1" applyBorder="1" applyAlignment="1">
      <alignment vertical="center"/>
    </xf>
    <xf numFmtId="0" fontId="12" fillId="2" borderId="26" xfId="0" applyFont="1" applyFill="1" applyBorder="1" applyAlignment="1">
      <alignment vertical="center"/>
    </xf>
    <xf numFmtId="0" fontId="12" fillId="2" borderId="31" xfId="0" applyFont="1" applyFill="1" applyBorder="1" applyAlignment="1">
      <alignment vertical="center"/>
    </xf>
    <xf numFmtId="0" fontId="12" fillId="2" borderId="130" xfId="0" applyFont="1" applyFill="1" applyBorder="1" applyAlignment="1">
      <alignment vertical="center"/>
    </xf>
    <xf numFmtId="0" fontId="75" fillId="2" borderId="55" xfId="0" applyFont="1" applyFill="1" applyBorder="1" applyAlignment="1">
      <alignment horizontal="center" vertical="center"/>
    </xf>
    <xf numFmtId="0" fontId="75" fillId="2" borderId="136" xfId="0" applyFont="1" applyFill="1" applyBorder="1" applyAlignment="1">
      <alignment horizontal="center" vertical="center"/>
    </xf>
    <xf numFmtId="0" fontId="23" fillId="2" borderId="28" xfId="0" applyFont="1" applyFill="1" applyBorder="1"/>
    <xf numFmtId="0" fontId="23" fillId="2" borderId="138" xfId="0" applyFont="1" applyFill="1" applyBorder="1"/>
    <xf numFmtId="0" fontId="23" fillId="2" borderId="22" xfId="0" applyFont="1" applyFill="1" applyBorder="1"/>
    <xf numFmtId="0" fontId="23" fillId="2" borderId="126" xfId="0" applyFont="1" applyFill="1" applyBorder="1"/>
    <xf numFmtId="0" fontId="23" fillId="2" borderId="23" xfId="0" applyFont="1" applyFill="1" applyBorder="1"/>
    <xf numFmtId="0" fontId="23" fillId="2" borderId="127" xfId="0" applyFont="1" applyFill="1" applyBorder="1"/>
    <xf numFmtId="0" fontId="12" fillId="2" borderId="128" xfId="0" applyFont="1" applyFill="1" applyBorder="1" applyAlignment="1">
      <alignment vertical="center"/>
    </xf>
    <xf numFmtId="0" fontId="12" fillId="2" borderId="141" xfId="0" applyFont="1" applyFill="1" applyBorder="1" applyAlignment="1">
      <alignment vertical="center"/>
    </xf>
    <xf numFmtId="0" fontId="12" fillId="2" borderId="128" xfId="0" applyFont="1" applyFill="1" applyBorder="1"/>
    <xf numFmtId="0" fontId="12" fillId="2" borderId="141" xfId="0" applyFont="1" applyFill="1" applyBorder="1" applyAlignment="1">
      <alignment vertical="center" wrapText="1"/>
    </xf>
    <xf numFmtId="0" fontId="12" fillId="2" borderId="128" xfId="0" applyFont="1" applyFill="1" applyBorder="1" applyAlignment="1">
      <alignment vertical="center" wrapText="1"/>
    </xf>
    <xf numFmtId="0" fontId="12" fillId="2" borderId="0" xfId="0" applyFont="1" applyFill="1" applyAlignment="1">
      <alignment vertical="center" wrapText="1"/>
    </xf>
    <xf numFmtId="0" fontId="12" fillId="2" borderId="129" xfId="0" applyFont="1" applyFill="1" applyBorder="1" applyAlignment="1">
      <alignment vertical="center" wrapText="1"/>
    </xf>
    <xf numFmtId="0" fontId="12" fillId="2" borderId="131" xfId="0" applyFont="1" applyFill="1" applyBorder="1" applyAlignment="1">
      <alignment vertical="center" wrapText="1"/>
    </xf>
    <xf numFmtId="0" fontId="12" fillId="2" borderId="132" xfId="0" applyFont="1" applyFill="1" applyBorder="1" applyAlignment="1">
      <alignment vertical="center" wrapText="1"/>
    </xf>
    <xf numFmtId="0" fontId="12" fillId="2" borderId="0" xfId="0" applyFont="1" applyFill="1" applyAlignment="1">
      <alignment horizontal="center" vertical="center"/>
    </xf>
    <xf numFmtId="0" fontId="12" fillId="2" borderId="0" xfId="0" applyFont="1" applyFill="1"/>
    <xf numFmtId="0" fontId="12" fillId="2" borderId="0" xfId="0" applyFont="1" applyFill="1" applyAlignment="1">
      <alignment horizontal="center" vertical="top"/>
    </xf>
    <xf numFmtId="1" fontId="42" fillId="2" borderId="22" xfId="0" applyNumberFormat="1" applyFont="1" applyFill="1" applyBorder="1" applyAlignment="1">
      <alignment vertical="center" wrapText="1"/>
    </xf>
    <xf numFmtId="0" fontId="42" fillId="2" borderId="22" xfId="0" applyFont="1" applyFill="1" applyBorder="1" applyAlignment="1">
      <alignment horizontal="center" vertical="center"/>
    </xf>
    <xf numFmtId="0" fontId="42" fillId="2" borderId="22" xfId="0" applyFont="1" applyFill="1" applyBorder="1" applyAlignment="1">
      <alignment horizontal="center" vertical="center" wrapText="1"/>
    </xf>
    <xf numFmtId="0" fontId="42" fillId="2" borderId="36" xfId="0" applyFont="1" applyFill="1" applyBorder="1" applyAlignment="1">
      <alignment horizontal="center" vertical="center" wrapText="1"/>
    </xf>
    <xf numFmtId="0" fontId="42" fillId="2" borderId="36" xfId="0" applyFont="1" applyFill="1" applyBorder="1" applyAlignment="1">
      <alignment horizontal="center" vertical="center"/>
    </xf>
    <xf numFmtId="0" fontId="42" fillId="2" borderId="23" xfId="0" applyFont="1" applyFill="1" applyBorder="1" applyAlignment="1">
      <alignment horizontal="center" vertical="center" wrapText="1"/>
    </xf>
    <xf numFmtId="0" fontId="42" fillId="2" borderId="52" xfId="0" applyFont="1" applyFill="1" applyBorder="1" applyAlignment="1">
      <alignment horizontal="center" vertical="center" wrapText="1"/>
    </xf>
    <xf numFmtId="0" fontId="36" fillId="2" borderId="22" xfId="0" applyFont="1" applyFill="1" applyBorder="1" applyAlignment="1">
      <alignment horizontal="center"/>
    </xf>
    <xf numFmtId="0" fontId="42" fillId="2" borderId="64" xfId="0" applyFont="1" applyFill="1" applyBorder="1" applyAlignment="1">
      <alignment horizontal="left" vertical="center" wrapText="1"/>
    </xf>
    <xf numFmtId="167" fontId="23" fillId="2" borderId="36" xfId="0" applyNumberFormat="1" applyFont="1" applyFill="1" applyBorder="1" applyAlignment="1">
      <alignment horizontal="center" vertical="center" wrapText="1"/>
    </xf>
    <xf numFmtId="175" fontId="23" fillId="2" borderId="22" xfId="0" applyNumberFormat="1" applyFont="1" applyFill="1" applyBorder="1" applyAlignment="1">
      <alignment horizontal="center" vertical="center"/>
    </xf>
    <xf numFmtId="175" fontId="23" fillId="2" borderId="36" xfId="0" applyNumberFormat="1" applyFont="1" applyFill="1" applyBorder="1" applyAlignment="1">
      <alignment horizontal="center" vertical="center"/>
    </xf>
    <xf numFmtId="175" fontId="23" fillId="2" borderId="36" xfId="0" applyNumberFormat="1" applyFont="1" applyFill="1" applyBorder="1" applyAlignment="1">
      <alignment horizontal="center" vertical="center" wrapText="1"/>
    </xf>
    <xf numFmtId="0" fontId="23" fillId="2" borderId="36" xfId="0" applyFont="1" applyFill="1" applyBorder="1" applyAlignment="1">
      <alignment horizontal="center" vertical="center" wrapText="1"/>
    </xf>
    <xf numFmtId="164" fontId="23" fillId="2" borderId="22" xfId="0" applyNumberFormat="1" applyFont="1" applyFill="1" applyBorder="1" applyAlignment="1">
      <alignment horizontal="left" vertical="center"/>
    </xf>
    <xf numFmtId="164" fontId="23" fillId="2" borderId="36" xfId="0" applyNumberFormat="1" applyFont="1" applyFill="1" applyBorder="1" applyAlignment="1">
      <alignment horizontal="left" vertical="center"/>
    </xf>
    <xf numFmtId="164" fontId="12" fillId="2" borderId="22" xfId="0" applyNumberFormat="1" applyFont="1" applyFill="1" applyBorder="1" applyAlignment="1">
      <alignment horizontal="center" vertical="center" wrapText="1"/>
    </xf>
    <xf numFmtId="164" fontId="23" fillId="2" borderId="36" xfId="0" applyNumberFormat="1" applyFont="1" applyFill="1" applyBorder="1" applyAlignment="1">
      <alignment horizontal="center" vertical="center" wrapText="1"/>
    </xf>
    <xf numFmtId="177" fontId="23" fillId="2" borderId="36" xfId="0" applyNumberFormat="1" applyFont="1" applyFill="1" applyBorder="1" applyAlignment="1">
      <alignment horizontal="center" vertical="center" wrapText="1"/>
    </xf>
    <xf numFmtId="0" fontId="42" fillId="2" borderId="157" xfId="0" applyFont="1" applyFill="1" applyBorder="1" applyAlignment="1">
      <alignment horizontal="left" vertical="center" wrapText="1"/>
    </xf>
    <xf numFmtId="0" fontId="42" fillId="2" borderId="22" xfId="0" applyFont="1" applyFill="1" applyBorder="1" applyAlignment="1">
      <alignment horizontal="left" vertical="center" wrapText="1"/>
    </xf>
    <xf numFmtId="164" fontId="102" fillId="2" borderId="22" xfId="0" applyNumberFormat="1" applyFont="1" applyFill="1" applyBorder="1" applyAlignment="1">
      <alignment horizontal="left" vertical="center" wrapText="1"/>
    </xf>
    <xf numFmtId="0" fontId="36" fillId="2" borderId="120" xfId="0" applyFont="1" applyFill="1" applyBorder="1" applyAlignment="1">
      <alignment horizontal="center"/>
    </xf>
    <xf numFmtId="164" fontId="102" fillId="2" borderId="46" xfId="0" applyNumberFormat="1" applyFont="1" applyFill="1" applyBorder="1" applyAlignment="1">
      <alignment horizontal="left" vertical="center" wrapText="1"/>
    </xf>
    <xf numFmtId="0" fontId="12" fillId="2" borderId="32" xfId="0" applyFont="1" applyFill="1" applyBorder="1" applyAlignment="1">
      <alignment horizontal="right" vertical="center" wrapText="1"/>
    </xf>
    <xf numFmtId="174" fontId="12" fillId="2" borderId="34" xfId="0" applyNumberFormat="1" applyFont="1" applyFill="1" applyBorder="1" applyAlignment="1">
      <alignment horizontal="center" vertical="center" wrapText="1"/>
    </xf>
    <xf numFmtId="0" fontId="12" fillId="2" borderId="37" xfId="0" applyFont="1" applyFill="1" applyBorder="1" applyAlignment="1">
      <alignment horizontal="right" vertical="center" wrapText="1"/>
    </xf>
    <xf numFmtId="174" fontId="12" fillId="2" borderId="38" xfId="0" applyNumberFormat="1" applyFont="1" applyFill="1" applyBorder="1" applyAlignment="1">
      <alignment horizontal="center" vertical="center" wrapText="1"/>
    </xf>
    <xf numFmtId="0" fontId="12" fillId="2" borderId="39" xfId="0" applyFont="1" applyFill="1" applyBorder="1" applyAlignment="1">
      <alignment horizontal="right" vertical="center" wrapText="1"/>
    </xf>
    <xf numFmtId="174" fontId="12" fillId="2" borderId="41" xfId="0" applyNumberFormat="1" applyFont="1" applyFill="1" applyBorder="1" applyAlignment="1">
      <alignment horizontal="center" vertical="center" wrapText="1"/>
    </xf>
    <xf numFmtId="0" fontId="12" fillId="2" borderId="0" xfId="0" applyFont="1" applyFill="1" applyAlignment="1">
      <alignment horizontal="right" vertical="center" wrapText="1"/>
    </xf>
    <xf numFmtId="0" fontId="12" fillId="2" borderId="0" xfId="0" applyFont="1" applyFill="1" applyAlignment="1">
      <alignment horizontal="left" vertical="center" wrapText="1"/>
    </xf>
    <xf numFmtId="174" fontId="12" fillId="2" borderId="0" xfId="0" applyNumberFormat="1" applyFont="1" applyFill="1" applyAlignment="1">
      <alignment horizontal="justify" vertical="center" wrapText="1"/>
    </xf>
    <xf numFmtId="174"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103" fillId="2" borderId="0" xfId="0" applyFont="1" applyFill="1" applyAlignment="1">
      <alignment horizontal="center" vertical="center" wrapText="1"/>
    </xf>
    <xf numFmtId="164" fontId="12" fillId="2" borderId="0" xfId="0" applyNumberFormat="1" applyFont="1" applyFill="1" applyAlignment="1">
      <alignment horizontal="justify" vertical="center" wrapText="1"/>
    </xf>
    <xf numFmtId="0" fontId="12" fillId="2" borderId="24" xfId="0" applyFont="1" applyFill="1" applyBorder="1" applyAlignment="1">
      <alignment horizontal="right" vertical="center"/>
    </xf>
    <xf numFmtId="0" fontId="28" fillId="2" borderId="29" xfId="0" applyFont="1" applyFill="1" applyBorder="1" applyAlignment="1">
      <alignment horizontal="left" vertical="center"/>
    </xf>
    <xf numFmtId="0" fontId="28" fillId="2" borderId="30" xfId="0" applyFont="1" applyFill="1" applyBorder="1"/>
    <xf numFmtId="0" fontId="28" fillId="2" borderId="47" xfId="0" applyFont="1" applyFill="1" applyBorder="1"/>
    <xf numFmtId="168" fontId="12" fillId="2" borderId="24" xfId="0" applyNumberFormat="1" applyFont="1" applyFill="1" applyBorder="1" applyAlignment="1">
      <alignment horizontal="right" vertical="center"/>
    </xf>
    <xf numFmtId="0" fontId="28" fillId="2" borderId="25" xfId="0" applyFont="1" applyFill="1" applyBorder="1" applyAlignment="1">
      <alignment horizontal="left" vertical="center"/>
    </xf>
    <xf numFmtId="0" fontId="28" fillId="2" borderId="0" xfId="0" applyFont="1" applyFill="1"/>
    <xf numFmtId="0" fontId="28" fillId="2" borderId="38" xfId="0" applyFont="1" applyFill="1" applyBorder="1"/>
    <xf numFmtId="169" fontId="42" fillId="2" borderId="22" xfId="0" applyNumberFormat="1" applyFont="1" applyFill="1" applyBorder="1" applyAlignment="1">
      <alignment horizontal="left" vertical="center" wrapText="1"/>
    </xf>
    <xf numFmtId="169" fontId="12" fillId="2" borderId="24" xfId="0" applyNumberFormat="1" applyFont="1" applyFill="1" applyBorder="1" applyAlignment="1">
      <alignment horizontal="right" vertical="center"/>
    </xf>
    <xf numFmtId="170" fontId="42" fillId="2" borderId="22" xfId="0" applyNumberFormat="1" applyFont="1" applyFill="1" applyBorder="1" applyAlignment="1">
      <alignment horizontal="left" vertical="center" wrapText="1"/>
    </xf>
    <xf numFmtId="0" fontId="12" fillId="2" borderId="24" xfId="3" applyNumberFormat="1" applyFont="1" applyFill="1" applyBorder="1" applyAlignment="1">
      <alignment horizontal="right" vertical="center"/>
    </xf>
    <xf numFmtId="171" fontId="42" fillId="2" borderId="22" xfId="0" applyNumberFormat="1" applyFont="1" applyFill="1" applyBorder="1" applyAlignment="1">
      <alignment horizontal="left" vertical="center" wrapText="1"/>
    </xf>
    <xf numFmtId="171" fontId="12" fillId="2" borderId="24" xfId="0" applyNumberFormat="1" applyFont="1" applyFill="1" applyBorder="1" applyAlignment="1">
      <alignment horizontal="right" vertical="center"/>
    </xf>
    <xf numFmtId="172" fontId="42" fillId="2" borderId="23" xfId="0" applyNumberFormat="1" applyFont="1" applyFill="1" applyBorder="1" applyAlignment="1">
      <alignment horizontal="left" vertical="center" wrapText="1"/>
    </xf>
    <xf numFmtId="172" fontId="12" fillId="2" borderId="23" xfId="0" applyNumberFormat="1" applyFont="1" applyFill="1" applyBorder="1" applyAlignment="1">
      <alignment horizontal="right" vertical="center"/>
    </xf>
    <xf numFmtId="0" fontId="105" fillId="2" borderId="0" xfId="2" applyFont="1" applyFill="1" applyBorder="1" applyAlignment="1"/>
    <xf numFmtId="0" fontId="23" fillId="2" borderId="100" xfId="0" applyFont="1" applyFill="1" applyBorder="1" applyAlignment="1">
      <alignment horizontal="center" vertical="center"/>
    </xf>
    <xf numFmtId="0" fontId="12" fillId="2" borderId="63" xfId="0" applyFont="1" applyFill="1" applyBorder="1" applyAlignment="1">
      <alignment horizontal="justify" vertical="center" wrapText="1"/>
    </xf>
    <xf numFmtId="0" fontId="12" fillId="2" borderId="22" xfId="0" applyFont="1" applyFill="1" applyBorder="1" applyAlignment="1">
      <alignment horizontal="justify" vertical="center" wrapText="1"/>
    </xf>
    <xf numFmtId="0" fontId="12" fillId="2" borderId="28" xfId="0" applyFont="1" applyFill="1" applyBorder="1" applyAlignment="1">
      <alignment horizontal="justify" vertical="center" wrapText="1"/>
    </xf>
    <xf numFmtId="0" fontId="12" fillId="2" borderId="36" xfId="0" applyFont="1" applyFill="1" applyBorder="1" applyAlignment="1">
      <alignment horizontal="justify" vertical="center" wrapText="1"/>
    </xf>
    <xf numFmtId="0" fontId="42" fillId="2" borderId="28" xfId="0" applyFont="1" applyFill="1" applyBorder="1"/>
    <xf numFmtId="168" fontId="12" fillId="2" borderId="22" xfId="0" applyNumberFormat="1" applyFont="1" applyFill="1" applyBorder="1" applyAlignment="1">
      <alignment horizontal="right" vertical="center" wrapText="1"/>
    </xf>
    <xf numFmtId="0" fontId="42" fillId="2" borderId="22" xfId="0" applyFont="1" applyFill="1" applyBorder="1"/>
    <xf numFmtId="171" fontId="12" fillId="2" borderId="22" xfId="0" applyNumberFormat="1" applyFont="1" applyFill="1" applyBorder="1"/>
    <xf numFmtId="171" fontId="12" fillId="2" borderId="36" xfId="0" applyNumberFormat="1" applyFont="1" applyFill="1" applyBorder="1"/>
    <xf numFmtId="0" fontId="12" fillId="2" borderId="22" xfId="0" applyFont="1" applyFill="1" applyBorder="1" applyAlignment="1">
      <alignment horizontal="right" vertical="center" wrapText="1"/>
    </xf>
    <xf numFmtId="0" fontId="12" fillId="2" borderId="100" xfId="0" applyFont="1" applyFill="1" applyBorder="1" applyAlignment="1">
      <alignment horizontal="center" vertical="center"/>
    </xf>
    <xf numFmtId="0" fontId="12" fillId="2" borderId="28" xfId="0" applyFont="1" applyFill="1" applyBorder="1" applyAlignment="1">
      <alignment horizontal="left"/>
    </xf>
    <xf numFmtId="0" fontId="12" fillId="2" borderId="22" xfId="0" applyFont="1" applyFill="1" applyBorder="1" applyAlignment="1">
      <alignment horizontal="left" vertical="center" wrapText="1"/>
    </xf>
    <xf numFmtId="0" fontId="12" fillId="2" borderId="36" xfId="0" applyFont="1" applyFill="1" applyBorder="1" applyAlignment="1">
      <alignment horizontal="left" vertical="center" wrapText="1"/>
    </xf>
    <xf numFmtId="0" fontId="102" fillId="2" borderId="22" xfId="0" applyFont="1" applyFill="1" applyBorder="1" applyAlignment="1">
      <alignment horizontal="left"/>
    </xf>
    <xf numFmtId="0" fontId="102" fillId="2" borderId="23" xfId="0" applyFont="1" applyFill="1" applyBorder="1" applyAlignment="1">
      <alignment horizontal="left"/>
    </xf>
    <xf numFmtId="0" fontId="12" fillId="2" borderId="23" xfId="0" applyFont="1" applyFill="1" applyBorder="1" applyAlignment="1">
      <alignment horizontal="left" vertical="center" wrapText="1"/>
    </xf>
    <xf numFmtId="0" fontId="12" fillId="2" borderId="52" xfId="0" applyFont="1" applyFill="1" applyBorder="1" applyAlignment="1">
      <alignment horizontal="left" vertical="center" wrapText="1"/>
    </xf>
    <xf numFmtId="0" fontId="104" fillId="2" borderId="0" xfId="0" applyFont="1" applyFill="1" applyAlignment="1">
      <alignment horizontal="center" vertical="center" wrapText="1"/>
    </xf>
    <xf numFmtId="0" fontId="42" fillId="2" borderId="174" xfId="0" applyFont="1" applyFill="1" applyBorder="1"/>
    <xf numFmtId="0" fontId="42" fillId="2" borderId="169" xfId="0" applyFont="1" applyFill="1" applyBorder="1"/>
    <xf numFmtId="0" fontId="42" fillId="2" borderId="155" xfId="0" applyFont="1" applyFill="1" applyBorder="1" applyAlignment="1">
      <alignment vertical="center" wrapText="1"/>
    </xf>
    <xf numFmtId="0" fontId="42" fillId="2" borderId="99" xfId="0" applyFont="1" applyFill="1" applyBorder="1" applyAlignment="1">
      <alignment vertical="center" wrapText="1"/>
    </xf>
    <xf numFmtId="0" fontId="42" fillId="2" borderId="113" xfId="0" applyFont="1" applyFill="1" applyBorder="1" applyAlignment="1">
      <alignment vertical="center" wrapText="1"/>
    </xf>
    <xf numFmtId="0" fontId="42" fillId="2" borderId="162" xfId="0" applyFont="1" applyFill="1" applyBorder="1" applyAlignment="1">
      <alignment vertical="center" wrapText="1"/>
    </xf>
    <xf numFmtId="0" fontId="42" fillId="2" borderId="115" xfId="0" applyFont="1" applyFill="1" applyBorder="1" applyAlignment="1">
      <alignment vertical="center" wrapText="1"/>
    </xf>
    <xf numFmtId="0" fontId="42" fillId="2" borderId="66" xfId="0" applyFont="1" applyFill="1" applyBorder="1" applyAlignment="1">
      <alignment vertical="center" wrapText="1"/>
    </xf>
    <xf numFmtId="0" fontId="42" fillId="2" borderId="175" xfId="0" applyFont="1" applyFill="1" applyBorder="1"/>
    <xf numFmtId="0" fontId="42" fillId="2" borderId="173" xfId="0" applyFont="1" applyFill="1" applyBorder="1"/>
    <xf numFmtId="0" fontId="42" fillId="2" borderId="114" xfId="0" applyFont="1" applyFill="1" applyBorder="1" applyAlignment="1">
      <alignment vertical="center" wrapText="1"/>
    </xf>
    <xf numFmtId="0" fontId="42" fillId="2" borderId="47" xfId="0" applyFont="1" applyFill="1" applyBorder="1" applyAlignment="1">
      <alignment vertical="center" wrapText="1"/>
    </xf>
    <xf numFmtId="0" fontId="42" fillId="2" borderId="109" xfId="0" applyFont="1" applyFill="1" applyBorder="1" applyAlignment="1">
      <alignment vertical="center" wrapText="1"/>
    </xf>
    <xf numFmtId="0" fontId="42" fillId="2" borderId="163" xfId="0" applyFont="1" applyFill="1" applyBorder="1" applyAlignment="1">
      <alignment vertical="center" wrapText="1"/>
    </xf>
    <xf numFmtId="0" fontId="12" fillId="2" borderId="40" xfId="0" applyFont="1" applyFill="1" applyBorder="1" applyAlignment="1">
      <alignment vertical="center" wrapText="1"/>
    </xf>
    <xf numFmtId="0" fontId="12" fillId="2" borderId="172" xfId="0" applyFont="1" applyFill="1" applyBorder="1" applyAlignment="1">
      <alignment horizontal="center" vertical="center" wrapText="1"/>
    </xf>
    <xf numFmtId="0" fontId="104" fillId="2" borderId="28" xfId="0" applyFont="1" applyFill="1" applyBorder="1" applyAlignment="1">
      <alignment horizontal="center" vertical="center"/>
    </xf>
    <xf numFmtId="0" fontId="104" fillId="2" borderId="28" xfId="0" applyFont="1" applyFill="1" applyBorder="1" applyAlignment="1">
      <alignment horizontal="center" vertical="center" wrapText="1"/>
    </xf>
    <xf numFmtId="0" fontId="107" fillId="2" borderId="0" xfId="2" applyFont="1" applyFill="1" applyBorder="1" applyAlignment="1">
      <alignment horizontal="center" vertical="center" wrapText="1"/>
    </xf>
    <xf numFmtId="0" fontId="108" fillId="2" borderId="0" xfId="0" applyFont="1" applyFill="1"/>
    <xf numFmtId="0" fontId="23" fillId="2" borderId="38" xfId="0" applyFont="1" applyFill="1" applyBorder="1"/>
    <xf numFmtId="171" fontId="23" fillId="2" borderId="22" xfId="0" applyNumberFormat="1" applyFont="1" applyFill="1" applyBorder="1"/>
    <xf numFmtId="9" fontId="23" fillId="2" borderId="22" xfId="3" applyFont="1" applyFill="1" applyBorder="1"/>
    <xf numFmtId="0" fontId="28" fillId="2" borderId="0" xfId="0" applyFont="1" applyFill="1" applyAlignment="1">
      <alignment vertical="center"/>
    </xf>
    <xf numFmtId="0" fontId="28" fillId="2" borderId="0" xfId="0" applyFont="1" applyFill="1" applyAlignment="1">
      <alignment horizontal="center" vertical="center"/>
    </xf>
    <xf numFmtId="9" fontId="23" fillId="2" borderId="22" xfId="0" applyNumberFormat="1" applyFont="1" applyFill="1" applyBorder="1"/>
    <xf numFmtId="0" fontId="28" fillId="2" borderId="0" xfId="0" applyFont="1" applyFill="1" applyAlignment="1">
      <alignment horizontal="left" vertical="center"/>
    </xf>
    <xf numFmtId="0" fontId="18" fillId="2" borderId="0" xfId="0" applyFont="1" applyFill="1" applyAlignment="1">
      <alignment horizontal="center" vertical="center" wrapText="1"/>
    </xf>
    <xf numFmtId="0" fontId="18" fillId="2" borderId="0" xfId="0" applyFont="1" applyFill="1" applyAlignment="1">
      <alignment horizontal="left" vertical="center"/>
    </xf>
    <xf numFmtId="0" fontId="12" fillId="2" borderId="0" xfId="0" applyFont="1" applyFill="1" applyAlignment="1">
      <alignment vertical="center"/>
    </xf>
    <xf numFmtId="0" fontId="18" fillId="2" borderId="0" xfId="0" applyFont="1" applyFill="1" applyAlignment="1">
      <alignment horizontal="center" wrapText="1"/>
    </xf>
    <xf numFmtId="0" fontId="12" fillId="2" borderId="37" xfId="0" applyFont="1" applyFill="1" applyBorder="1" applyAlignment="1">
      <alignment wrapText="1"/>
    </xf>
    <xf numFmtId="0" fontId="12" fillId="2" borderId="0" xfId="0" applyFont="1" applyFill="1" applyAlignment="1">
      <alignment wrapText="1"/>
    </xf>
    <xf numFmtId="9" fontId="12" fillId="2" borderId="0" xfId="0" applyNumberFormat="1" applyFont="1" applyFill="1"/>
    <xf numFmtId="0" fontId="23" fillId="2" borderId="37" xfId="0" applyFont="1" applyFill="1" applyBorder="1"/>
    <xf numFmtId="0" fontId="106" fillId="2" borderId="17" xfId="0" applyFont="1" applyFill="1" applyBorder="1"/>
    <xf numFmtId="0" fontId="23" fillId="2" borderId="14" xfId="0" applyFont="1" applyFill="1" applyBorder="1"/>
    <xf numFmtId="0" fontId="106" fillId="2" borderId="14" xfId="0" applyFont="1" applyFill="1" applyBorder="1"/>
    <xf numFmtId="0" fontId="23" fillId="2" borderId="15" xfId="0" applyFont="1" applyFill="1" applyBorder="1"/>
    <xf numFmtId="0" fontId="28" fillId="2" borderId="7" xfId="0" applyFont="1" applyFill="1" applyBorder="1" applyAlignment="1">
      <alignment vertical="top"/>
    </xf>
    <xf numFmtId="0" fontId="12" fillId="2" borderId="0" xfId="0" applyFont="1" applyFill="1" applyAlignment="1">
      <alignment vertical="top"/>
    </xf>
    <xf numFmtId="0" fontId="12" fillId="2" borderId="8" xfId="0" applyFont="1" applyFill="1" applyBorder="1"/>
    <xf numFmtId="0" fontId="28" fillId="2" borderId="7" xfId="0" applyFont="1" applyFill="1" applyBorder="1" applyAlignment="1">
      <alignment vertical="center"/>
    </xf>
    <xf numFmtId="0" fontId="12" fillId="2" borderId="13" xfId="0" applyFont="1" applyFill="1" applyBorder="1"/>
    <xf numFmtId="0" fontId="12" fillId="2" borderId="13" xfId="0" applyFont="1" applyFill="1" applyBorder="1" applyAlignment="1">
      <alignment vertical="top"/>
    </xf>
    <xf numFmtId="0" fontId="12" fillId="2" borderId="16" xfId="0" applyFont="1" applyFill="1" applyBorder="1"/>
    <xf numFmtId="0" fontId="12" fillId="2" borderId="39" xfId="0" applyFont="1" applyFill="1" applyBorder="1"/>
    <xf numFmtId="0" fontId="12" fillId="2" borderId="40" xfId="0" applyFont="1" applyFill="1" applyBorder="1"/>
    <xf numFmtId="0" fontId="23" fillId="2" borderId="41" xfId="0" applyFont="1" applyFill="1" applyBorder="1"/>
    <xf numFmtId="0" fontId="46" fillId="2" borderId="0" xfId="0" applyFont="1" applyFill="1" applyAlignment="1">
      <alignment horizontal="center" vertical="center" wrapText="1"/>
    </xf>
    <xf numFmtId="0" fontId="45" fillId="2" borderId="0" xfId="0" applyFont="1" applyFill="1" applyAlignment="1">
      <alignment horizontal="center" vertical="center" wrapText="1"/>
    </xf>
    <xf numFmtId="0" fontId="45" fillId="2" borderId="0" xfId="0" applyFont="1" applyFill="1" applyAlignment="1">
      <alignment horizontal="center" vertical="center"/>
    </xf>
    <xf numFmtId="0" fontId="78" fillId="2" borderId="0" xfId="0" applyFont="1" applyFill="1" applyAlignment="1">
      <alignment horizontal="center" vertical="center"/>
    </xf>
    <xf numFmtId="0" fontId="42" fillId="2" borderId="208" xfId="0" applyFont="1" applyFill="1" applyBorder="1" applyAlignment="1">
      <alignment horizontal="right"/>
    </xf>
    <xf numFmtId="0" fontId="42" fillId="2" borderId="62" xfId="0" applyFont="1" applyFill="1" applyBorder="1" applyAlignment="1">
      <alignment horizontal="right"/>
    </xf>
    <xf numFmtId="0" fontId="42" fillId="2" borderId="63" xfId="0" applyFont="1" applyFill="1" applyBorder="1" applyAlignment="1">
      <alignment horizontal="right"/>
    </xf>
    <xf numFmtId="0" fontId="42" fillId="2" borderId="134" xfId="0" applyFont="1" applyFill="1" applyBorder="1" applyAlignment="1">
      <alignment horizontal="right"/>
    </xf>
    <xf numFmtId="0" fontId="42" fillId="2" borderId="31" xfId="0" applyFont="1" applyFill="1" applyBorder="1" applyAlignment="1">
      <alignment horizontal="right"/>
    </xf>
    <xf numFmtId="0" fontId="42" fillId="2" borderId="27" xfId="0" applyFont="1" applyFill="1" applyBorder="1" applyAlignment="1">
      <alignment horizontal="right"/>
    </xf>
    <xf numFmtId="0" fontId="18" fillId="12" borderId="22" xfId="0" applyFont="1" applyFill="1" applyBorder="1" applyAlignment="1">
      <alignment horizontal="center" vertical="center"/>
    </xf>
    <xf numFmtId="0" fontId="18" fillId="12" borderId="23" xfId="0" applyFont="1" applyFill="1" applyBorder="1" applyAlignment="1">
      <alignment horizontal="center" vertical="center"/>
    </xf>
    <xf numFmtId="0" fontId="99" fillId="2" borderId="26" xfId="0" applyFont="1" applyFill="1" applyBorder="1" applyAlignment="1">
      <alignment horizontal="center" vertical="center"/>
    </xf>
    <xf numFmtId="0" fontId="99" fillId="2" borderId="31" xfId="0" applyFont="1" applyFill="1" applyBorder="1" applyAlignment="1">
      <alignment horizontal="center" vertical="center"/>
    </xf>
    <xf numFmtId="0" fontId="99" fillId="2" borderId="130" xfId="0" applyFont="1" applyFill="1" applyBorder="1" applyAlignment="1">
      <alignment horizontal="center" vertical="center"/>
    </xf>
    <xf numFmtId="0" fontId="45" fillId="2" borderId="0" xfId="0" applyFont="1" applyFill="1" applyAlignment="1">
      <alignment horizontal="left" vertical="center"/>
    </xf>
    <xf numFmtId="0" fontId="46" fillId="2" borderId="0" xfId="0" applyFont="1" applyFill="1" applyAlignment="1">
      <alignment vertical="center" wrapText="1"/>
    </xf>
    <xf numFmtId="0" fontId="112" fillId="14" borderId="0" xfId="0" applyFont="1" applyFill="1"/>
    <xf numFmtId="0" fontId="100" fillId="14" borderId="0" xfId="0" applyFont="1" applyFill="1"/>
    <xf numFmtId="0" fontId="107" fillId="35" borderId="0" xfId="0" quotePrefix="1" applyFont="1" applyFill="1"/>
    <xf numFmtId="0" fontId="0" fillId="35" borderId="0" xfId="0" applyFill="1"/>
    <xf numFmtId="0" fontId="12" fillId="12" borderId="22" xfId="0" applyFont="1" applyFill="1" applyBorder="1" applyAlignment="1">
      <alignment vertical="center"/>
    </xf>
    <xf numFmtId="0" fontId="12" fillId="12" borderId="28" xfId="0" applyFont="1" applyFill="1" applyBorder="1" applyAlignment="1">
      <alignment vertical="center"/>
    </xf>
    <xf numFmtId="0" fontId="96" fillId="2" borderId="75" xfId="0" applyFont="1" applyFill="1" applyBorder="1" applyAlignment="1">
      <alignment horizontal="center"/>
    </xf>
    <xf numFmtId="0" fontId="18" fillId="12" borderId="21" xfId="0" applyFont="1" applyFill="1" applyBorder="1" applyAlignment="1">
      <alignment horizontal="center" vertical="center"/>
    </xf>
    <xf numFmtId="0" fontId="0" fillId="2" borderId="212" xfId="0" applyFill="1" applyBorder="1"/>
    <xf numFmtId="0" fontId="0" fillId="2" borderId="19" xfId="0" applyFill="1" applyBorder="1"/>
    <xf numFmtId="0" fontId="0" fillId="2" borderId="214" xfId="0" applyFill="1" applyBorder="1"/>
    <xf numFmtId="0" fontId="45" fillId="2" borderId="131" xfId="0" applyFont="1" applyFill="1" applyBorder="1" applyAlignment="1">
      <alignment vertical="center"/>
    </xf>
    <xf numFmtId="0" fontId="89" fillId="0" borderId="0" xfId="0" applyFont="1" applyAlignment="1">
      <alignment horizontal="left" vertical="center"/>
    </xf>
    <xf numFmtId="0" fontId="114" fillId="0" borderId="0" xfId="0" applyFont="1" applyAlignment="1">
      <alignment horizontal="left" vertical="center"/>
    </xf>
    <xf numFmtId="0" fontId="0" fillId="0" borderId="0" xfId="0" applyAlignment="1">
      <alignment horizontal="left"/>
    </xf>
    <xf numFmtId="0" fontId="115" fillId="40" borderId="4" xfId="4" applyFont="1" applyFill="1" applyBorder="1" applyAlignment="1">
      <alignment horizontal="center" vertical="center" wrapText="1"/>
    </xf>
    <xf numFmtId="0" fontId="119" fillId="0" borderId="0" xfId="4" applyFont="1" applyAlignment="1">
      <alignment horizontal="center"/>
    </xf>
    <xf numFmtId="0" fontId="117" fillId="0" borderId="0" xfId="4" applyFont="1" applyAlignment="1">
      <alignment horizontal="center"/>
    </xf>
    <xf numFmtId="0" fontId="38" fillId="0" borderId="0" xfId="4" applyAlignment="1">
      <alignment horizontal="center"/>
    </xf>
    <xf numFmtId="0" fontId="38" fillId="0" borderId="0" xfId="4" applyAlignment="1">
      <alignment horizontal="right"/>
    </xf>
    <xf numFmtId="0" fontId="122" fillId="0" borderId="0" xfId="4" applyFont="1" applyAlignment="1">
      <alignment horizontal="left"/>
    </xf>
    <xf numFmtId="0" fontId="38" fillId="42" borderId="222" xfId="4" applyFill="1" applyBorder="1" applyAlignment="1">
      <alignment horizontal="center"/>
    </xf>
    <xf numFmtId="0" fontId="38" fillId="0" borderId="223" xfId="4" applyBorder="1" applyAlignment="1">
      <alignment horizontal="center"/>
    </xf>
    <xf numFmtId="0" fontId="38" fillId="0" borderId="224" xfId="4" applyBorder="1" applyAlignment="1">
      <alignment horizontal="center"/>
    </xf>
    <xf numFmtId="0" fontId="38" fillId="43" borderId="225" xfId="4" applyFill="1" applyBorder="1" applyAlignment="1">
      <alignment horizontal="center"/>
    </xf>
    <xf numFmtId="0" fontId="38" fillId="44" borderId="226" xfId="4" applyFill="1" applyBorder="1" applyAlignment="1">
      <alignment horizontal="center"/>
    </xf>
    <xf numFmtId="0" fontId="123" fillId="41" borderId="4" xfId="4" applyFont="1" applyFill="1" applyBorder="1" applyAlignment="1">
      <alignment horizontal="center" vertical="center" wrapText="1"/>
    </xf>
    <xf numFmtId="0" fontId="117" fillId="0" borderId="0" xfId="4" applyFont="1" applyAlignment="1">
      <alignment horizontal="center" vertical="center"/>
    </xf>
    <xf numFmtId="0" fontId="115" fillId="46" borderId="227" xfId="4" applyFont="1" applyFill="1" applyBorder="1" applyAlignment="1">
      <alignment horizontal="center" vertical="center"/>
    </xf>
    <xf numFmtId="0" fontId="38" fillId="0" borderId="0" xfId="4" applyAlignment="1">
      <alignment horizontal="center" vertical="center"/>
    </xf>
    <xf numFmtId="0" fontId="115" fillId="0" borderId="0" xfId="4" applyFont="1" applyAlignment="1">
      <alignment horizontal="center" vertical="center"/>
    </xf>
    <xf numFmtId="0" fontId="38" fillId="0" borderId="234" xfId="4" applyBorder="1" applyAlignment="1">
      <alignment horizontal="left" vertical="center"/>
    </xf>
    <xf numFmtId="0" fontId="38" fillId="48" borderId="234" xfId="4" applyFill="1" applyBorder="1" applyAlignment="1">
      <alignment horizontal="left" vertical="center"/>
    </xf>
    <xf numFmtId="0" fontId="38" fillId="48" borderId="237" xfId="4" applyFill="1" applyBorder="1" applyAlignment="1">
      <alignment horizontal="left" vertical="center"/>
    </xf>
    <xf numFmtId="0" fontId="115" fillId="0" borderId="0" xfId="4" applyFont="1" applyAlignment="1">
      <alignment horizontal="left" vertical="center"/>
    </xf>
    <xf numFmtId="0" fontId="38" fillId="0" borderId="0" xfId="4" applyAlignment="1">
      <alignment horizontal="left" vertical="center"/>
    </xf>
    <xf numFmtId="0" fontId="38" fillId="0" borderId="228" xfId="4" applyBorder="1" applyAlignment="1">
      <alignment horizontal="left" vertical="center"/>
    </xf>
    <xf numFmtId="0" fontId="38" fillId="44" borderId="241" xfId="4" applyFill="1" applyBorder="1" applyAlignment="1" applyProtection="1">
      <alignment horizontal="center" vertical="center"/>
      <protection locked="0"/>
    </xf>
    <xf numFmtId="0" fontId="38" fillId="42" borderId="243" xfId="4" applyFill="1" applyBorder="1" applyAlignment="1">
      <alignment horizontal="left" vertical="center"/>
    </xf>
    <xf numFmtId="3" fontId="38" fillId="42" borderId="244" xfId="6" applyNumberFormat="1" applyFill="1" applyBorder="1" applyAlignment="1" applyProtection="1">
      <alignment horizontal="center" vertical="center"/>
      <protection locked="0"/>
    </xf>
    <xf numFmtId="0" fontId="115" fillId="42" borderId="233" xfId="4" applyFont="1" applyFill="1" applyBorder="1" applyAlignment="1">
      <alignment horizontal="left" vertical="center"/>
    </xf>
    <xf numFmtId="4" fontId="38" fillId="42" borderId="245" xfId="6" applyNumberFormat="1" applyFill="1" applyBorder="1" applyAlignment="1" applyProtection="1">
      <alignment horizontal="center" vertical="center"/>
      <protection locked="0"/>
    </xf>
    <xf numFmtId="180" fontId="38" fillId="0" borderId="0" xfId="4" applyNumberFormat="1"/>
    <xf numFmtId="0" fontId="115" fillId="0" borderId="237" xfId="4" applyFont="1" applyBorder="1" applyAlignment="1">
      <alignment horizontal="left" vertical="center"/>
    </xf>
    <xf numFmtId="181" fontId="38" fillId="43" borderId="238" xfId="4" applyNumberFormat="1" applyFill="1" applyBorder="1" applyAlignment="1" applyProtection="1">
      <alignment horizontal="center" vertical="center"/>
      <protection locked="0"/>
    </xf>
    <xf numFmtId="0" fontId="38" fillId="0" borderId="247" xfId="4" applyBorder="1" applyAlignment="1">
      <alignment horizontal="center" vertical="center"/>
    </xf>
    <xf numFmtId="0" fontId="38" fillId="0" borderId="248" xfId="4" applyBorder="1" applyAlignment="1">
      <alignment horizontal="left" vertical="center"/>
    </xf>
    <xf numFmtId="4" fontId="38" fillId="0" borderId="249" xfId="6" applyNumberFormat="1" applyFill="1" applyBorder="1" applyAlignment="1" applyProtection="1">
      <alignment horizontal="center" vertical="center"/>
      <protection locked="0"/>
    </xf>
    <xf numFmtId="0" fontId="38" fillId="0" borderId="229" xfId="4" applyBorder="1" applyAlignment="1">
      <alignment horizontal="left" vertical="center"/>
    </xf>
    <xf numFmtId="0" fontId="38" fillId="44" borderId="230" xfId="4" applyFill="1" applyBorder="1" applyAlignment="1" applyProtection="1">
      <alignment horizontal="center" vertical="center"/>
      <protection locked="0"/>
    </xf>
    <xf numFmtId="0" fontId="38" fillId="43" borderId="235" xfId="4" applyFill="1" applyBorder="1" applyAlignment="1">
      <alignment horizontal="center" vertical="center"/>
    </xf>
    <xf numFmtId="0" fontId="38" fillId="43" borderId="235" xfId="4" applyFill="1" applyBorder="1" applyAlignment="1" applyProtection="1">
      <alignment horizontal="center" vertical="center"/>
      <protection locked="0"/>
    </xf>
    <xf numFmtId="0" fontId="115" fillId="49" borderId="236" xfId="4" applyFont="1" applyFill="1" applyBorder="1" applyAlignment="1">
      <alignment horizontal="center" vertical="center"/>
    </xf>
    <xf numFmtId="3" fontId="38" fillId="0" borderId="0" xfId="4" applyNumberFormat="1"/>
    <xf numFmtId="0" fontId="38" fillId="0" borderId="237" xfId="4" applyBorder="1" applyAlignment="1">
      <alignment horizontal="left" vertical="center"/>
    </xf>
    <xf numFmtId="0" fontId="38" fillId="42" borderId="238" xfId="4" applyFill="1" applyBorder="1" applyAlignment="1" applyProtection="1">
      <alignment horizontal="center" vertical="center"/>
      <protection locked="0"/>
    </xf>
    <xf numFmtId="0" fontId="38" fillId="0" borderId="247" xfId="4" applyBorder="1"/>
    <xf numFmtId="0" fontId="38" fillId="0" borderId="221" xfId="4" applyBorder="1" applyAlignment="1">
      <alignment horizontal="center" vertical="center"/>
    </xf>
    <xf numFmtId="0" fontId="115" fillId="46" borderId="228" xfId="4" applyFont="1" applyFill="1" applyBorder="1" applyAlignment="1">
      <alignment horizontal="center" vertical="center"/>
    </xf>
    <xf numFmtId="176" fontId="115" fillId="0" borderId="0" xfId="4" applyNumberFormat="1" applyFont="1" applyAlignment="1">
      <alignment horizontal="center" vertical="center"/>
    </xf>
    <xf numFmtId="0" fontId="38" fillId="0" borderId="253" xfId="4" applyBorder="1"/>
    <xf numFmtId="0" fontId="38" fillId="0" borderId="254" xfId="4" applyBorder="1" applyAlignment="1">
      <alignment horizontal="left" vertical="center"/>
    </xf>
    <xf numFmtId="3" fontId="115" fillId="42" borderId="230" xfId="4" applyNumberFormat="1" applyFont="1" applyFill="1" applyBorder="1" applyAlignment="1" applyProtection="1">
      <alignment horizontal="center" vertical="center"/>
      <protection locked="0"/>
    </xf>
    <xf numFmtId="0" fontId="38" fillId="0" borderId="255" xfId="4" applyBorder="1" applyAlignment="1">
      <alignment horizontal="left" vertical="center"/>
    </xf>
    <xf numFmtId="9" fontId="38" fillId="42" borderId="235" xfId="6" applyFont="1" applyFill="1" applyBorder="1" applyAlignment="1" applyProtection="1">
      <alignment horizontal="center" vertical="center"/>
      <protection locked="0"/>
    </xf>
    <xf numFmtId="3" fontId="38" fillId="0" borderId="235" xfId="4" applyNumberFormat="1" applyBorder="1" applyAlignment="1">
      <alignment horizontal="center" vertical="center"/>
    </xf>
    <xf numFmtId="3" fontId="38" fillId="43" borderId="235" xfId="4" applyNumberFormat="1" applyFill="1" applyBorder="1" applyAlignment="1">
      <alignment horizontal="center" vertical="center"/>
    </xf>
    <xf numFmtId="182" fontId="38" fillId="0" borderId="0" xfId="4" applyNumberFormat="1"/>
    <xf numFmtId="0" fontId="125" fillId="0" borderId="0" xfId="4" applyFont="1"/>
    <xf numFmtId="3" fontId="38" fillId="0" borderId="0" xfId="4" applyNumberFormat="1" applyAlignment="1">
      <alignment horizontal="center" vertical="center"/>
    </xf>
    <xf numFmtId="0" fontId="38" fillId="50" borderId="255" xfId="4" applyFill="1" applyBorder="1" applyAlignment="1">
      <alignment horizontal="left" vertical="center"/>
    </xf>
    <xf numFmtId="3" fontId="38" fillId="50" borderId="235" xfId="4" applyNumberFormat="1" applyFill="1" applyBorder="1" applyAlignment="1">
      <alignment horizontal="center" vertical="center"/>
    </xf>
    <xf numFmtId="0" fontId="38" fillId="48" borderId="255" xfId="4" applyFill="1" applyBorder="1" applyAlignment="1">
      <alignment horizontal="left" vertical="center"/>
    </xf>
    <xf numFmtId="0" fontId="115" fillId="42" borderId="235" xfId="4" applyFont="1" applyFill="1" applyBorder="1" applyAlignment="1" applyProtection="1">
      <alignment horizontal="center" vertical="center" wrapText="1"/>
      <protection locked="0"/>
    </xf>
    <xf numFmtId="0" fontId="38" fillId="45" borderId="235" xfId="4" applyFill="1" applyBorder="1" applyAlignment="1">
      <alignment horizontal="center" vertical="center"/>
    </xf>
    <xf numFmtId="9" fontId="38" fillId="51" borderId="235" xfId="6" applyFill="1" applyBorder="1" applyAlignment="1" applyProtection="1">
      <alignment horizontal="center" vertical="center"/>
    </xf>
    <xf numFmtId="0" fontId="126" fillId="0" borderId="0" xfId="4" applyFont="1" applyAlignment="1">
      <alignment horizontal="center" vertical="center"/>
    </xf>
    <xf numFmtId="0" fontId="38" fillId="52" borderId="255" xfId="4" applyFill="1" applyBorder="1" applyAlignment="1">
      <alignment horizontal="left" vertical="center"/>
    </xf>
    <xf numFmtId="3" fontId="115" fillId="43" borderId="238" xfId="4" applyNumberFormat="1" applyFont="1" applyFill="1" applyBorder="1" applyAlignment="1">
      <alignment horizontal="center" vertical="center"/>
    </xf>
    <xf numFmtId="2" fontId="38" fillId="0" borderId="0" xfId="4" applyNumberFormat="1"/>
    <xf numFmtId="0" fontId="38" fillId="0" borderId="247" xfId="4" applyBorder="1" applyAlignment="1">
      <alignment horizontal="left" vertical="center"/>
    </xf>
    <xf numFmtId="0" fontId="115" fillId="46" borderId="256" xfId="4" applyFont="1" applyFill="1" applyBorder="1" applyAlignment="1">
      <alignment horizontal="center" vertical="center"/>
    </xf>
    <xf numFmtId="0" fontId="115" fillId="42" borderId="230" xfId="4" applyFont="1" applyFill="1" applyBorder="1" applyAlignment="1" applyProtection="1">
      <alignment horizontal="center" vertical="center"/>
      <protection locked="0"/>
    </xf>
    <xf numFmtId="9" fontId="38" fillId="42" borderId="235" xfId="4" applyNumberFormat="1" applyFill="1" applyBorder="1" applyAlignment="1" applyProtection="1">
      <alignment horizontal="center" vertical="center"/>
      <protection locked="0"/>
    </xf>
    <xf numFmtId="2" fontId="38" fillId="0" borderId="0" xfId="4" applyNumberFormat="1" applyAlignment="1">
      <alignment horizontal="center" vertical="center"/>
    </xf>
    <xf numFmtId="9" fontId="38" fillId="49" borderId="235" xfId="6" applyFill="1" applyBorder="1" applyAlignment="1" applyProtection="1">
      <alignment horizontal="center" vertical="center"/>
    </xf>
    <xf numFmtId="3" fontId="38" fillId="42" borderId="235" xfId="4" applyNumberFormat="1" applyFill="1" applyBorder="1" applyAlignment="1">
      <alignment horizontal="center" vertical="center"/>
    </xf>
    <xf numFmtId="9" fontId="38" fillId="43" borderId="235" xfId="4" applyNumberFormat="1" applyFill="1" applyBorder="1" applyAlignment="1">
      <alignment horizontal="center" vertical="center"/>
    </xf>
    <xf numFmtId="0" fontId="38" fillId="0" borderId="257" xfId="4" applyBorder="1" applyAlignment="1">
      <alignment horizontal="left" vertical="center"/>
    </xf>
    <xf numFmtId="0" fontId="115" fillId="53" borderId="221" xfId="4" applyFont="1" applyFill="1" applyBorder="1" applyAlignment="1">
      <alignment horizontal="left" vertical="center"/>
    </xf>
    <xf numFmtId="3" fontId="115" fillId="53" borderId="238" xfId="4" applyNumberFormat="1" applyFont="1" applyFill="1" applyBorder="1" applyAlignment="1">
      <alignment horizontal="center" vertical="center"/>
    </xf>
    <xf numFmtId="3" fontId="123" fillId="0" borderId="0" xfId="4" applyNumberFormat="1" applyFont="1" applyAlignment="1">
      <alignment horizontal="left" vertical="center"/>
    </xf>
    <xf numFmtId="9" fontId="38" fillId="0" borderId="0" xfId="6" applyFill="1" applyBorder="1" applyAlignment="1" applyProtection="1">
      <alignment horizontal="center" vertical="center"/>
    </xf>
    <xf numFmtId="0" fontId="38" fillId="42" borderId="258" xfId="4" applyFill="1" applyBorder="1" applyAlignment="1">
      <alignment horizontal="left" vertical="center"/>
    </xf>
    <xf numFmtId="3" fontId="38" fillId="42" borderId="235" xfId="6" applyNumberFormat="1" applyFill="1" applyBorder="1" applyAlignment="1" applyProtection="1">
      <alignment horizontal="center" vertical="center"/>
      <protection locked="0"/>
    </xf>
    <xf numFmtId="3" fontId="38" fillId="0" borderId="235" xfId="6" applyNumberFormat="1" applyFill="1" applyBorder="1" applyAlignment="1" applyProtection="1">
      <alignment horizontal="center" vertical="center"/>
      <protection locked="0"/>
    </xf>
    <xf numFmtId="0" fontId="38" fillId="42" borderId="235" xfId="4" applyFill="1" applyBorder="1" applyAlignment="1" applyProtection="1">
      <alignment horizontal="center" vertical="center"/>
      <protection locked="0"/>
    </xf>
    <xf numFmtId="0" fontId="38" fillId="42" borderId="210" xfId="4" applyFill="1" applyBorder="1" applyAlignment="1" applyProtection="1">
      <alignment horizontal="center" vertical="center"/>
      <protection locked="0"/>
    </xf>
    <xf numFmtId="3" fontId="115" fillId="43" borderId="238" xfId="4" applyNumberFormat="1" applyFont="1" applyFill="1" applyBorder="1" applyAlignment="1" applyProtection="1">
      <alignment horizontal="center" vertical="center"/>
      <protection locked="0"/>
    </xf>
    <xf numFmtId="0" fontId="115" fillId="53" borderId="255" xfId="4" applyFont="1" applyFill="1" applyBorder="1" applyAlignment="1">
      <alignment horizontal="left" vertical="center"/>
    </xf>
    <xf numFmtId="3" fontId="115" fillId="53" borderId="259" xfId="4" applyNumberFormat="1" applyFont="1" applyFill="1" applyBorder="1" applyAlignment="1">
      <alignment horizontal="center" vertical="center"/>
    </xf>
    <xf numFmtId="3" fontId="38" fillId="0" borderId="219" xfId="4" applyNumberFormat="1" applyBorder="1" applyAlignment="1">
      <alignment horizontal="center" vertical="center"/>
    </xf>
    <xf numFmtId="3" fontId="38" fillId="0" borderId="215" xfId="4" applyNumberFormat="1" applyBorder="1" applyAlignment="1">
      <alignment horizontal="center" vertical="center"/>
    </xf>
    <xf numFmtId="0" fontId="52" fillId="0" borderId="255" xfId="4" applyFont="1" applyBorder="1" applyAlignment="1">
      <alignment horizontal="left" vertical="center"/>
    </xf>
    <xf numFmtId="4" fontId="52" fillId="0" borderId="210" xfId="4" applyNumberFormat="1" applyFont="1" applyBorder="1" applyAlignment="1">
      <alignment horizontal="center" vertical="center"/>
    </xf>
    <xf numFmtId="3" fontId="38" fillId="0" borderId="210" xfId="4" applyNumberFormat="1" applyBorder="1" applyAlignment="1">
      <alignment horizontal="center" vertical="center"/>
    </xf>
    <xf numFmtId="0" fontId="115" fillId="0" borderId="255" xfId="4" applyFont="1" applyBorder="1" applyAlignment="1">
      <alignment horizontal="left" vertical="center"/>
    </xf>
    <xf numFmtId="0" fontId="115" fillId="47" borderId="262" xfId="4" applyFont="1" applyFill="1" applyBorder="1" applyAlignment="1">
      <alignment horizontal="center" vertical="center" textRotation="90" wrapText="1"/>
    </xf>
    <xf numFmtId="0" fontId="115" fillId="46" borderId="232" xfId="4" applyFont="1" applyFill="1" applyBorder="1" applyAlignment="1">
      <alignment horizontal="center" vertical="center" wrapText="1"/>
    </xf>
    <xf numFmtId="0" fontId="115" fillId="0" borderId="257" xfId="4" applyFont="1" applyBorder="1" applyAlignment="1">
      <alignment horizontal="left" vertical="center"/>
    </xf>
    <xf numFmtId="3" fontId="38" fillId="0" borderId="263" xfId="4" applyNumberFormat="1" applyBorder="1" applyAlignment="1">
      <alignment horizontal="center" vertical="center"/>
    </xf>
    <xf numFmtId="0" fontId="115" fillId="32" borderId="258" xfId="4" applyFont="1" applyFill="1" applyBorder="1" applyAlignment="1" applyProtection="1">
      <alignment horizontal="center" vertical="center"/>
      <protection locked="0"/>
    </xf>
    <xf numFmtId="182" fontId="115" fillId="0" borderId="264" xfId="4" applyNumberFormat="1" applyFont="1" applyBorder="1" applyAlignment="1">
      <alignment horizontal="center" vertical="center"/>
    </xf>
    <xf numFmtId="0" fontId="38" fillId="0" borderId="265" xfId="4" applyBorder="1" applyAlignment="1" applyProtection="1">
      <alignment horizontal="left" vertical="center"/>
      <protection locked="0"/>
    </xf>
    <xf numFmtId="182" fontId="38" fillId="42" borderId="245" xfId="4" applyNumberFormat="1" applyFill="1" applyBorder="1" applyAlignment="1">
      <alignment horizontal="center" vertical="center"/>
    </xf>
    <xf numFmtId="0" fontId="38" fillId="0" borderId="209" xfId="4" applyBorder="1" applyAlignment="1" applyProtection="1">
      <alignment horizontal="left" vertical="center"/>
      <protection locked="0"/>
    </xf>
    <xf numFmtId="182" fontId="38" fillId="42" borderId="235" xfId="4" applyNumberFormat="1" applyFill="1" applyBorder="1" applyAlignment="1">
      <alignment horizontal="center" vertical="center"/>
    </xf>
    <xf numFmtId="0" fontId="38" fillId="7" borderId="71" xfId="4" applyFill="1" applyBorder="1"/>
    <xf numFmtId="0" fontId="38" fillId="7" borderId="10" xfId="4" applyFill="1" applyBorder="1"/>
    <xf numFmtId="0" fontId="38" fillId="7" borderId="72" xfId="4" applyFill="1" applyBorder="1"/>
    <xf numFmtId="0" fontId="38" fillId="7" borderId="11" xfId="4" applyFill="1" applyBorder="1"/>
    <xf numFmtId="0" fontId="38" fillId="7" borderId="0" xfId="4" applyFill="1"/>
    <xf numFmtId="0" fontId="38" fillId="7" borderId="73" xfId="4" applyFill="1" applyBorder="1"/>
    <xf numFmtId="0" fontId="38" fillId="0" borderId="255" xfId="4" applyBorder="1" applyAlignment="1" applyProtection="1">
      <alignment horizontal="left" vertical="center"/>
      <protection locked="0"/>
    </xf>
    <xf numFmtId="182" fontId="38" fillId="42" borderId="21" xfId="4" applyNumberFormat="1" applyFill="1" applyBorder="1" applyAlignment="1">
      <alignment horizontal="center" vertical="center"/>
    </xf>
    <xf numFmtId="0" fontId="38" fillId="0" borderId="266" xfId="4" applyBorder="1"/>
    <xf numFmtId="0" fontId="115" fillId="0" borderId="247" xfId="4" applyFont="1" applyBorder="1" applyAlignment="1">
      <alignment horizontal="left" vertical="center"/>
    </xf>
    <xf numFmtId="180" fontId="38" fillId="0" borderId="266" xfId="4" applyNumberFormat="1" applyBorder="1" applyAlignment="1">
      <alignment horizontal="center" vertical="center"/>
    </xf>
    <xf numFmtId="0" fontId="38" fillId="7" borderId="267" xfId="4" applyFill="1" applyBorder="1" applyAlignment="1">
      <alignment horizontal="left" vertical="center"/>
    </xf>
    <xf numFmtId="180" fontId="38" fillId="7" borderId="87" xfId="7" applyNumberFormat="1" applyFont="1" applyFill="1" applyBorder="1" applyAlignment="1" applyProtection="1">
      <alignment horizontal="center" vertical="center"/>
    </xf>
    <xf numFmtId="180" fontId="38" fillId="7" borderId="268" xfId="7" applyNumberFormat="1" applyFont="1" applyFill="1" applyBorder="1" applyAlignment="1" applyProtection="1">
      <alignment horizontal="center" vertical="center"/>
    </xf>
    <xf numFmtId="0" fontId="130" fillId="7" borderId="0" xfId="4" applyFont="1" applyFill="1"/>
    <xf numFmtId="0" fontId="130" fillId="7" borderId="73" xfId="4" applyFont="1" applyFill="1" applyBorder="1"/>
    <xf numFmtId="0" fontId="38" fillId="7" borderId="271" xfId="4" applyFill="1" applyBorder="1" applyAlignment="1">
      <alignment horizontal="left" vertical="center"/>
    </xf>
    <xf numFmtId="180" fontId="38" fillId="7" borderId="235" xfId="7" applyNumberFormat="1" applyFont="1" applyFill="1" applyBorder="1" applyAlignment="1" applyProtection="1">
      <alignment horizontal="center" vertical="center"/>
    </xf>
    <xf numFmtId="180" fontId="38" fillId="7" borderId="89" xfId="7" applyNumberFormat="1" applyFont="1" applyFill="1" applyBorder="1" applyAlignment="1" applyProtection="1">
      <alignment horizontal="center" vertical="center"/>
    </xf>
    <xf numFmtId="0" fontId="130" fillId="0" borderId="0" xfId="4" applyFont="1"/>
    <xf numFmtId="0" fontId="38" fillId="0" borderId="261" xfId="4" applyBorder="1" applyAlignment="1">
      <alignment horizontal="center" vertical="center"/>
    </xf>
    <xf numFmtId="0" fontId="115" fillId="7" borderId="271" xfId="4" applyFont="1" applyFill="1" applyBorder="1" applyAlignment="1">
      <alignment horizontal="left" vertical="center"/>
    </xf>
    <xf numFmtId="182" fontId="38" fillId="7" borderId="235" xfId="4" applyNumberFormat="1" applyFill="1" applyBorder="1" applyAlignment="1">
      <alignment horizontal="center" vertical="center"/>
    </xf>
    <xf numFmtId="182" fontId="38" fillId="7" borderId="272" xfId="6" applyNumberFormat="1" applyFont="1" applyFill="1" applyBorder="1" applyAlignment="1" applyProtection="1">
      <alignment horizontal="center" vertical="center"/>
    </xf>
    <xf numFmtId="180" fontId="131" fillId="0" borderId="0" xfId="4" applyNumberFormat="1" applyFont="1" applyAlignment="1">
      <alignment horizontal="center"/>
    </xf>
    <xf numFmtId="182" fontId="38" fillId="7" borderId="272" xfId="4" applyNumberFormat="1" applyFill="1" applyBorder="1" applyAlignment="1">
      <alignment horizontal="center" vertical="center"/>
    </xf>
    <xf numFmtId="0" fontId="131" fillId="7" borderId="0" xfId="4" applyFont="1" applyFill="1" applyAlignment="1">
      <alignment horizontal="center"/>
    </xf>
    <xf numFmtId="0" fontId="131" fillId="7" borderId="73" xfId="4" applyFont="1" applyFill="1" applyBorder="1" applyAlignment="1">
      <alignment horizontal="center"/>
    </xf>
    <xf numFmtId="182" fontId="38" fillId="0" borderId="0" xfId="4" applyNumberFormat="1" applyAlignment="1">
      <alignment horizontal="center" vertical="center"/>
    </xf>
    <xf numFmtId="182" fontId="38" fillId="7" borderId="235" xfId="6" applyNumberFormat="1" applyFont="1" applyFill="1" applyBorder="1" applyAlignment="1" applyProtection="1">
      <alignment horizontal="center" vertical="center"/>
    </xf>
    <xf numFmtId="0" fontId="38" fillId="7" borderId="275" xfId="4" applyFill="1" applyBorder="1" applyAlignment="1">
      <alignment horizontal="left" vertical="center"/>
    </xf>
    <xf numFmtId="0" fontId="38" fillId="7" borderId="229" xfId="4" applyFill="1" applyBorder="1" applyAlignment="1">
      <alignment horizontal="left"/>
    </xf>
    <xf numFmtId="3" fontId="38" fillId="7" borderId="230" xfId="4" applyNumberFormat="1" applyFill="1" applyBorder="1" applyAlignment="1">
      <alignment horizontal="center"/>
    </xf>
    <xf numFmtId="3" fontId="38" fillId="7" borderId="231" xfId="4" applyNumberFormat="1" applyFill="1" applyBorder="1" applyAlignment="1">
      <alignment horizontal="center"/>
    </xf>
    <xf numFmtId="0" fontId="38" fillId="7" borderId="234" xfId="4" applyFill="1" applyBorder="1" applyAlignment="1">
      <alignment horizontal="left"/>
    </xf>
    <xf numFmtId="10" fontId="38" fillId="7" borderId="235" xfId="6" applyNumberFormat="1" applyFont="1" applyFill="1" applyBorder="1" applyAlignment="1" applyProtection="1">
      <alignment horizontal="center"/>
    </xf>
    <xf numFmtId="10" fontId="38" fillId="7" borderId="236" xfId="6" applyNumberFormat="1" applyFont="1" applyFill="1" applyBorder="1" applyAlignment="1" applyProtection="1">
      <alignment horizontal="center"/>
    </xf>
    <xf numFmtId="3" fontId="115" fillId="7" borderId="234" xfId="4" applyNumberFormat="1" applyFont="1" applyFill="1" applyBorder="1" applyAlignment="1" applyProtection="1">
      <alignment horizontal="left"/>
      <protection locked="0"/>
    </xf>
    <xf numFmtId="182" fontId="38" fillId="7" borderId="235" xfId="7" applyNumberFormat="1" applyFont="1" applyFill="1" applyBorder="1" applyAlignment="1" applyProtection="1">
      <alignment horizontal="center"/>
    </xf>
    <xf numFmtId="182" fontId="38" fillId="7" borderId="236" xfId="7" applyNumberFormat="1" applyFont="1" applyFill="1" applyBorder="1" applyAlignment="1" applyProtection="1">
      <alignment horizontal="center"/>
    </xf>
    <xf numFmtId="0" fontId="132" fillId="54" borderId="234" xfId="4" applyFont="1" applyFill="1" applyBorder="1" applyAlignment="1">
      <alignment horizontal="left"/>
    </xf>
    <xf numFmtId="8" fontId="132" fillId="54" borderId="235" xfId="4" applyNumberFormat="1" applyFont="1" applyFill="1" applyBorder="1" applyAlignment="1">
      <alignment horizontal="center"/>
    </xf>
    <xf numFmtId="8" fontId="132" fillId="54" borderId="236" xfId="4" applyNumberFormat="1" applyFont="1" applyFill="1" applyBorder="1" applyAlignment="1">
      <alignment horizontal="center"/>
    </xf>
    <xf numFmtId="0" fontId="115" fillId="7" borderId="234" xfId="4" applyFont="1" applyFill="1" applyBorder="1" applyAlignment="1">
      <alignment horizontal="left"/>
    </xf>
    <xf numFmtId="8" fontId="115" fillId="7" borderId="235" xfId="4" applyNumberFormat="1" applyFont="1" applyFill="1" applyBorder="1" applyAlignment="1">
      <alignment horizontal="center"/>
    </xf>
    <xf numFmtId="0" fontId="115" fillId="55" borderId="236" xfId="4" applyFont="1" applyFill="1" applyBorder="1" applyAlignment="1">
      <alignment horizontal="center" vertical="center"/>
    </xf>
    <xf numFmtId="0" fontId="115" fillId="56" borderId="234" xfId="4" applyFont="1" applyFill="1" applyBorder="1" applyAlignment="1">
      <alignment horizontal="left"/>
    </xf>
    <xf numFmtId="183" fontId="115" fillId="7" borderId="235" xfId="4" applyNumberFormat="1" applyFont="1" applyFill="1" applyBorder="1" applyAlignment="1">
      <alignment horizontal="center"/>
    </xf>
    <xf numFmtId="183" fontId="115" fillId="7" borderId="236" xfId="4" applyNumberFormat="1" applyFont="1" applyFill="1" applyBorder="1" applyAlignment="1">
      <alignment horizontal="center"/>
    </xf>
    <xf numFmtId="183" fontId="115" fillId="0" borderId="236" xfId="4" applyNumberFormat="1" applyFont="1" applyBorder="1" applyAlignment="1">
      <alignment horizontal="center"/>
    </xf>
    <xf numFmtId="182" fontId="38" fillId="7" borderId="235" xfId="7" applyNumberFormat="1" applyFill="1" applyBorder="1" applyAlignment="1" applyProtection="1">
      <alignment horizontal="center"/>
    </xf>
    <xf numFmtId="10" fontId="115" fillId="7" borderId="235" xfId="6" applyNumberFormat="1" applyFont="1" applyFill="1" applyBorder="1" applyAlignment="1" applyProtection="1">
      <alignment horizontal="center"/>
    </xf>
    <xf numFmtId="0" fontId="133" fillId="7" borderId="234" xfId="4" applyFont="1" applyFill="1" applyBorder="1" applyAlignment="1">
      <alignment horizontal="left"/>
    </xf>
    <xf numFmtId="182" fontId="133" fillId="7" borderId="235" xfId="7" applyNumberFormat="1" applyFont="1" applyFill="1" applyBorder="1" applyAlignment="1" applyProtection="1">
      <alignment horizontal="center"/>
    </xf>
    <xf numFmtId="0" fontId="115" fillId="0" borderId="0" xfId="4" applyFont="1" applyAlignment="1">
      <alignment horizontal="center"/>
    </xf>
    <xf numFmtId="0" fontId="135" fillId="37" borderId="234" xfId="4" applyFont="1" applyFill="1" applyBorder="1" applyAlignment="1">
      <alignment horizontal="left"/>
    </xf>
    <xf numFmtId="182" fontId="135" fillId="37" borderId="210" xfId="7" applyNumberFormat="1" applyFont="1" applyFill="1" applyBorder="1" applyAlignment="1" applyProtection="1">
      <alignment horizontal="center"/>
    </xf>
    <xf numFmtId="6" fontId="38" fillId="7" borderId="235" xfId="4" applyNumberFormat="1" applyFill="1" applyBorder="1" applyAlignment="1">
      <alignment horizontal="center"/>
    </xf>
    <xf numFmtId="182" fontId="38" fillId="7" borderId="236" xfId="4" applyNumberFormat="1" applyFill="1" applyBorder="1" applyAlignment="1">
      <alignment horizontal="center"/>
    </xf>
    <xf numFmtId="6" fontId="132" fillId="54" borderId="235" xfId="4" applyNumberFormat="1" applyFont="1" applyFill="1" applyBorder="1" applyAlignment="1">
      <alignment horizontal="center"/>
    </xf>
    <xf numFmtId="6" fontId="132" fillId="54" borderId="236" xfId="4" applyNumberFormat="1" applyFont="1" applyFill="1" applyBorder="1" applyAlignment="1">
      <alignment horizontal="center"/>
    </xf>
    <xf numFmtId="8" fontId="134" fillId="7" borderId="235" xfId="4" applyNumberFormat="1" applyFont="1" applyFill="1" applyBorder="1" applyAlignment="1">
      <alignment horizontal="center"/>
    </xf>
    <xf numFmtId="8" fontId="115" fillId="7" borderId="236" xfId="4" applyNumberFormat="1" applyFont="1" applyFill="1" applyBorder="1" applyAlignment="1">
      <alignment horizontal="center"/>
    </xf>
    <xf numFmtId="0" fontId="115" fillId="7" borderId="234" xfId="4" applyFont="1" applyFill="1" applyBorder="1" applyAlignment="1">
      <alignment horizontal="left" vertical="center"/>
    </xf>
    <xf numFmtId="184" fontId="115" fillId="7" borderId="235" xfId="4" applyNumberFormat="1" applyFont="1" applyFill="1" applyBorder="1" applyAlignment="1">
      <alignment horizontal="center" vertical="center"/>
    </xf>
    <xf numFmtId="9" fontId="115" fillId="7" borderId="235" xfId="6" applyFont="1" applyFill="1" applyBorder="1" applyAlignment="1" applyProtection="1">
      <alignment horizontal="center"/>
    </xf>
    <xf numFmtId="0" fontId="115" fillId="7" borderId="237" xfId="4" applyFont="1" applyFill="1" applyBorder="1" applyAlignment="1">
      <alignment horizontal="left" vertical="center"/>
    </xf>
    <xf numFmtId="185" fontId="115" fillId="7" borderId="238" xfId="4" applyNumberFormat="1" applyFont="1" applyFill="1" applyBorder="1" applyAlignment="1">
      <alignment horizontal="center" vertical="center"/>
    </xf>
    <xf numFmtId="8" fontId="115" fillId="7" borderId="239" xfId="4" applyNumberFormat="1" applyFont="1" applyFill="1" applyBorder="1" applyAlignment="1">
      <alignment horizontal="center"/>
    </xf>
    <xf numFmtId="0" fontId="115" fillId="57" borderId="210" xfId="4" applyFont="1" applyFill="1" applyBorder="1" applyAlignment="1">
      <alignment horizontal="left" vertical="center"/>
    </xf>
    <xf numFmtId="0" fontId="38" fillId="7" borderId="0" xfId="4" applyFill="1" applyAlignment="1">
      <alignment horizontal="center"/>
    </xf>
    <xf numFmtId="176" fontId="115" fillId="7" borderId="0" xfId="4" applyNumberFormat="1" applyFont="1" applyFill="1" applyAlignment="1">
      <alignment horizontal="center"/>
    </xf>
    <xf numFmtId="0" fontId="38" fillId="7" borderId="228" xfId="4" applyFill="1" applyBorder="1"/>
    <xf numFmtId="182" fontId="38" fillId="7" borderId="230" xfId="7" applyNumberFormat="1" applyFont="1" applyFill="1" applyBorder="1" applyAlignment="1" applyProtection="1">
      <alignment horizontal="center"/>
    </xf>
    <xf numFmtId="0" fontId="38" fillId="7" borderId="231" xfId="4" applyFill="1" applyBorder="1" applyAlignment="1">
      <alignment horizontal="center"/>
    </xf>
    <xf numFmtId="0" fontId="132" fillId="7" borderId="243" xfId="4" applyFont="1" applyFill="1" applyBorder="1"/>
    <xf numFmtId="182" fontId="132" fillId="7" borderId="235" xfId="7" applyNumberFormat="1" applyFont="1" applyFill="1" applyBorder="1" applyAlignment="1" applyProtection="1">
      <alignment horizontal="center"/>
    </xf>
    <xf numFmtId="0" fontId="38" fillId="7" borderId="236" xfId="4" applyFill="1" applyBorder="1" applyAlignment="1">
      <alignment horizontal="center"/>
    </xf>
    <xf numFmtId="0" fontId="38" fillId="7" borderId="243" xfId="4" applyFill="1" applyBorder="1"/>
    <xf numFmtId="180" fontId="38" fillId="7" borderId="235" xfId="6" applyNumberFormat="1" applyFill="1" applyBorder="1" applyAlignment="1" applyProtection="1">
      <alignment horizontal="center"/>
    </xf>
    <xf numFmtId="176" fontId="115" fillId="0" borderId="0" xfId="4" applyNumberFormat="1" applyFont="1" applyAlignment="1">
      <alignment horizontal="center"/>
    </xf>
    <xf numFmtId="0" fontId="115" fillId="7" borderId="233" xfId="4" applyFont="1" applyFill="1" applyBorder="1"/>
    <xf numFmtId="0" fontId="38" fillId="0" borderId="228" xfId="4" applyBorder="1"/>
    <xf numFmtId="182" fontId="38" fillId="0" borderId="230" xfId="7" applyNumberFormat="1" applyFont="1" applyBorder="1" applyAlignment="1" applyProtection="1">
      <alignment horizontal="center"/>
    </xf>
    <xf numFmtId="0" fontId="38" fillId="55" borderId="234" xfId="8" applyFill="1"/>
    <xf numFmtId="0" fontId="132" fillId="54" borderId="243" xfId="4" applyFont="1" applyFill="1" applyBorder="1"/>
    <xf numFmtId="182" fontId="132" fillId="54" borderId="235" xfId="7" applyNumberFormat="1" applyFont="1" applyFill="1" applyBorder="1" applyAlignment="1" applyProtection="1">
      <alignment horizontal="center"/>
    </xf>
    <xf numFmtId="0" fontId="121" fillId="7" borderId="234" xfId="4" applyFont="1" applyFill="1" applyBorder="1"/>
    <xf numFmtId="173" fontId="121" fillId="7" borderId="235" xfId="6" applyNumberFormat="1" applyFont="1" applyFill="1" applyBorder="1" applyAlignment="1" applyProtection="1">
      <alignment horizontal="center"/>
    </xf>
    <xf numFmtId="9" fontId="115" fillId="7" borderId="236" xfId="6" applyFont="1" applyFill="1" applyBorder="1" applyAlignment="1" applyProtection="1">
      <alignment horizontal="center"/>
    </xf>
    <xf numFmtId="0" fontId="38" fillId="0" borderId="243" xfId="4" applyBorder="1"/>
    <xf numFmtId="180" fontId="38" fillId="44" borderId="235" xfId="6" applyNumberFormat="1" applyFill="1" applyBorder="1" applyAlignment="1" applyProtection="1">
      <alignment horizontal="center"/>
    </xf>
    <xf numFmtId="0" fontId="38" fillId="7" borderId="234" xfId="4" applyFill="1" applyBorder="1"/>
    <xf numFmtId="186" fontId="38" fillId="7" borderId="235" xfId="4" applyNumberFormat="1" applyFill="1" applyBorder="1" applyAlignment="1">
      <alignment horizontal="center"/>
    </xf>
    <xf numFmtId="0" fontId="115" fillId="48" borderId="233" xfId="4" applyFont="1" applyFill="1" applyBorder="1"/>
    <xf numFmtId="0" fontId="121" fillId="7" borderId="237" xfId="4" applyFont="1" applyFill="1" applyBorder="1"/>
    <xf numFmtId="10" fontId="121" fillId="7" borderId="238" xfId="4" applyNumberFormat="1" applyFont="1" applyFill="1" applyBorder="1" applyAlignment="1">
      <alignment horizontal="center"/>
    </xf>
    <xf numFmtId="0" fontId="38" fillId="7" borderId="239" xfId="4" applyFill="1" applyBorder="1" applyAlignment="1">
      <alignment horizontal="center"/>
    </xf>
    <xf numFmtId="0" fontId="121" fillId="0" borderId="234" xfId="4" applyFont="1" applyBorder="1"/>
    <xf numFmtId="173" fontId="121" fillId="0" borderId="235" xfId="6" applyNumberFormat="1" applyFont="1" applyFill="1" applyBorder="1" applyAlignment="1" applyProtection="1">
      <alignment horizontal="center"/>
    </xf>
    <xf numFmtId="0" fontId="38" fillId="0" borderId="234" xfId="4" applyBorder="1"/>
    <xf numFmtId="186" fontId="38" fillId="0" borderId="235" xfId="4" applyNumberFormat="1" applyBorder="1" applyAlignment="1">
      <alignment horizontal="center"/>
    </xf>
    <xf numFmtId="0" fontId="38" fillId="7" borderId="229" xfId="4" applyFill="1" applyBorder="1"/>
    <xf numFmtId="10" fontId="38" fillId="7" borderId="230" xfId="6" applyNumberFormat="1" applyFont="1" applyFill="1" applyBorder="1" applyAlignment="1" applyProtection="1">
      <alignment horizontal="center"/>
    </xf>
    <xf numFmtId="0" fontId="115" fillId="55" borderId="231" xfId="4" applyFont="1" applyFill="1" applyBorder="1" applyAlignment="1">
      <alignment horizontal="center" vertical="center"/>
    </xf>
    <xf numFmtId="0" fontId="121" fillId="0" borderId="237" xfId="4" applyFont="1" applyBorder="1"/>
    <xf numFmtId="10" fontId="121" fillId="0" borderId="238" xfId="4" applyNumberFormat="1" applyFont="1" applyBorder="1" applyAlignment="1">
      <alignment horizontal="center"/>
    </xf>
    <xf numFmtId="0" fontId="115" fillId="57" borderId="0" xfId="4" applyFont="1" applyFill="1" applyAlignment="1">
      <alignment horizontal="center" wrapText="1"/>
    </xf>
    <xf numFmtId="6" fontId="121" fillId="7" borderId="235" xfId="5" applyNumberFormat="1" applyFont="1" applyFill="1" applyBorder="1" applyAlignment="1" applyProtection="1">
      <alignment horizontal="center"/>
    </xf>
    <xf numFmtId="49" fontId="38" fillId="0" borderId="0" xfId="4" applyNumberFormat="1"/>
    <xf numFmtId="0" fontId="115" fillId="7" borderId="234" xfId="4" applyFont="1" applyFill="1" applyBorder="1"/>
    <xf numFmtId="176" fontId="115" fillId="7" borderId="235" xfId="4" applyNumberFormat="1" applyFont="1" applyFill="1" applyBorder="1" applyAlignment="1">
      <alignment horizontal="center"/>
    </xf>
    <xf numFmtId="0" fontId="115" fillId="7" borderId="237" xfId="4" applyFont="1" applyFill="1" applyBorder="1"/>
    <xf numFmtId="176" fontId="115" fillId="7" borderId="238" xfId="4" applyNumberFormat="1" applyFont="1" applyFill="1" applyBorder="1" applyAlignment="1">
      <alignment horizontal="center"/>
    </xf>
    <xf numFmtId="0" fontId="115" fillId="55" borderId="239" xfId="4" applyFont="1" applyFill="1" applyBorder="1" applyAlignment="1">
      <alignment horizontal="center" vertical="center"/>
    </xf>
    <xf numFmtId="0" fontId="38" fillId="7" borderId="1" xfId="4" applyFill="1" applyBorder="1"/>
    <xf numFmtId="0" fontId="38" fillId="7" borderId="12" xfId="4" applyFill="1" applyBorder="1"/>
    <xf numFmtId="0" fontId="38" fillId="7" borderId="2" xfId="4" applyFill="1" applyBorder="1"/>
    <xf numFmtId="0" fontId="115" fillId="0" borderId="0" xfId="4" applyFont="1"/>
    <xf numFmtId="0" fontId="115" fillId="0" borderId="0" xfId="4" applyFont="1" applyAlignment="1">
      <alignment horizontal="center" vertical="center" wrapText="1"/>
    </xf>
    <xf numFmtId="3" fontId="38" fillId="0" borderId="0" xfId="5" applyNumberFormat="1" applyFont="1" applyBorder="1" applyAlignment="1" applyProtection="1">
      <alignment horizontal="center"/>
    </xf>
    <xf numFmtId="0" fontId="38" fillId="0" borderId="287" xfId="4" applyBorder="1"/>
    <xf numFmtId="0" fontId="38" fillId="0" borderId="83" xfId="4" applyBorder="1"/>
    <xf numFmtId="0" fontId="38" fillId="0" borderId="245" xfId="4" applyBorder="1"/>
    <xf numFmtId="0" fontId="38" fillId="0" borderId="85" xfId="4" applyBorder="1" applyAlignment="1">
      <alignment horizontal="center"/>
    </xf>
    <xf numFmtId="0" fontId="38" fillId="0" borderId="268" xfId="4" applyBorder="1" applyAlignment="1">
      <alignment horizontal="center"/>
    </xf>
    <xf numFmtId="0" fontId="38" fillId="0" borderId="74" xfId="4" applyBorder="1" applyAlignment="1">
      <alignment horizontal="center"/>
    </xf>
    <xf numFmtId="0" fontId="38" fillId="0" borderId="272" xfId="4" applyBorder="1" applyAlignment="1">
      <alignment horizontal="center"/>
    </xf>
    <xf numFmtId="0" fontId="38" fillId="0" borderId="90" xfId="4" applyBorder="1" applyAlignment="1">
      <alignment horizontal="center"/>
    </xf>
    <xf numFmtId="0" fontId="38" fillId="0" borderId="96" xfId="4" applyBorder="1" applyAlignment="1">
      <alignment horizontal="center"/>
    </xf>
    <xf numFmtId="0" fontId="38" fillId="38" borderId="229" xfId="4" applyFill="1" applyBorder="1" applyAlignment="1">
      <alignment horizontal="left" vertical="center"/>
    </xf>
    <xf numFmtId="0" fontId="38" fillId="38" borderId="234" xfId="4" applyFill="1" applyBorder="1" applyAlignment="1">
      <alignment horizontal="left" vertical="center"/>
    </xf>
    <xf numFmtId="0" fontId="115" fillId="38" borderId="235" xfId="4" applyFont="1" applyFill="1" applyBorder="1" applyAlignment="1" applyProtection="1">
      <alignment horizontal="center" vertical="center" wrapText="1"/>
      <protection locked="0"/>
    </xf>
    <xf numFmtId="14" fontId="115" fillId="38" borderId="236" xfId="4" applyNumberFormat="1" applyFont="1" applyFill="1" applyBorder="1" applyAlignment="1">
      <alignment horizontal="center" vertical="center"/>
    </xf>
    <xf numFmtId="0" fontId="115" fillId="20" borderId="0" xfId="4" applyFont="1" applyFill="1" applyAlignment="1">
      <alignment horizontal="center" vertical="center"/>
    </xf>
    <xf numFmtId="0" fontId="115" fillId="20" borderId="0" xfId="4" applyFont="1" applyFill="1" applyAlignment="1">
      <alignment horizontal="left" vertical="center"/>
    </xf>
    <xf numFmtId="0" fontId="38" fillId="42" borderId="235" xfId="4" applyFill="1" applyBorder="1" applyAlignment="1" applyProtection="1">
      <alignment vertical="center" wrapText="1"/>
      <protection locked="0"/>
    </xf>
    <xf numFmtId="0" fontId="38" fillId="42" borderId="238" xfId="4" applyFill="1" applyBorder="1" applyAlignment="1" applyProtection="1">
      <alignment vertical="center" wrapText="1"/>
      <protection locked="0"/>
    </xf>
    <xf numFmtId="0" fontId="38" fillId="38" borderId="236" xfId="4" applyFill="1" applyBorder="1" applyAlignment="1">
      <alignment vertical="center"/>
    </xf>
    <xf numFmtId="0" fontId="38" fillId="38" borderId="236" xfId="4" applyFill="1" applyBorder="1" applyAlignment="1" applyProtection="1">
      <alignment vertical="center" wrapText="1"/>
      <protection locked="0"/>
    </xf>
    <xf numFmtId="0" fontId="38" fillId="38" borderId="239" xfId="4" applyFill="1" applyBorder="1" applyAlignment="1" applyProtection="1">
      <alignment vertical="center" wrapText="1"/>
      <protection locked="0"/>
    </xf>
    <xf numFmtId="3" fontId="124" fillId="58" borderId="231" xfId="4" applyNumberFormat="1" applyFont="1" applyFill="1" applyBorder="1" applyAlignment="1" applyProtection="1">
      <alignment horizontal="center" vertical="center" wrapText="1"/>
      <protection locked="0"/>
    </xf>
    <xf numFmtId="9" fontId="38" fillId="58" borderId="236" xfId="6" applyFill="1" applyBorder="1" applyAlignment="1" applyProtection="1">
      <alignment horizontal="center" vertical="center"/>
      <protection locked="0"/>
    </xf>
    <xf numFmtId="0" fontId="115" fillId="58" borderId="239" xfId="4" applyFont="1" applyFill="1" applyBorder="1" applyAlignment="1">
      <alignment horizontal="center" vertical="center"/>
    </xf>
    <xf numFmtId="9" fontId="38" fillId="38" borderId="250" xfId="6" applyFill="1" applyBorder="1" applyAlignment="1" applyProtection="1">
      <alignment horizontal="center" vertical="center"/>
      <protection locked="0"/>
    </xf>
    <xf numFmtId="0" fontId="38" fillId="58" borderId="231" xfId="4" applyFill="1" applyBorder="1" applyAlignment="1">
      <alignment horizontal="center" vertical="center"/>
    </xf>
    <xf numFmtId="0" fontId="38" fillId="58" borderId="236" xfId="4" applyFill="1" applyBorder="1" applyAlignment="1">
      <alignment horizontal="center" vertical="center"/>
    </xf>
    <xf numFmtId="0" fontId="115" fillId="58" borderId="236" xfId="4" applyFont="1" applyFill="1" applyBorder="1" applyAlignment="1">
      <alignment horizontal="center" vertical="center"/>
    </xf>
    <xf numFmtId="0" fontId="124" fillId="58" borderId="239" xfId="4" applyFont="1" applyFill="1" applyBorder="1" applyAlignment="1" applyProtection="1">
      <alignment horizontal="center" vertical="center" wrapText="1"/>
      <protection locked="0"/>
    </xf>
    <xf numFmtId="0" fontId="38" fillId="38" borderId="0" xfId="4" applyFill="1" applyAlignment="1">
      <alignment horizontal="center"/>
    </xf>
    <xf numFmtId="0" fontId="38" fillId="38" borderId="0" xfId="4" applyFill="1" applyAlignment="1">
      <alignment horizontal="center" vertical="center"/>
    </xf>
    <xf numFmtId="3" fontId="115" fillId="38" borderId="231" xfId="4" applyNumberFormat="1" applyFont="1" applyFill="1" applyBorder="1" applyAlignment="1">
      <alignment horizontal="center" vertical="center"/>
    </xf>
    <xf numFmtId="1" fontId="38" fillId="38" borderId="236" xfId="6" applyNumberFormat="1" applyFill="1" applyBorder="1" applyAlignment="1" applyProtection="1">
      <alignment horizontal="center" vertical="center"/>
    </xf>
    <xf numFmtId="9" fontId="38" fillId="58" borderId="236" xfId="6" applyFill="1" applyBorder="1" applyAlignment="1" applyProtection="1">
      <alignment horizontal="center" vertical="center"/>
    </xf>
    <xf numFmtId="1" fontId="125" fillId="58" borderId="236" xfId="6" applyNumberFormat="1" applyFont="1" applyFill="1" applyBorder="1" applyAlignment="1" applyProtection="1">
      <alignment horizontal="center" vertical="center"/>
    </xf>
    <xf numFmtId="9" fontId="38" fillId="59" borderId="236" xfId="6" applyFill="1" applyBorder="1" applyAlignment="1" applyProtection="1">
      <alignment horizontal="center" vertical="center"/>
    </xf>
    <xf numFmtId="0" fontId="115" fillId="38" borderId="236" xfId="4" applyFont="1" applyFill="1" applyBorder="1" applyAlignment="1" applyProtection="1">
      <alignment horizontal="center" vertical="center" wrapText="1"/>
      <protection locked="0"/>
    </xf>
    <xf numFmtId="3" fontId="38" fillId="38" borderId="236" xfId="4" applyNumberFormat="1" applyFill="1" applyBorder="1" applyAlignment="1">
      <alignment horizontal="center" vertical="center"/>
    </xf>
    <xf numFmtId="9" fontId="38" fillId="38" borderId="255" xfId="6" applyFill="1" applyBorder="1" applyAlignment="1" applyProtection="1">
      <alignment horizontal="center" vertical="center"/>
    </xf>
    <xf numFmtId="3" fontId="38" fillId="59" borderId="236" xfId="4" applyNumberFormat="1" applyFill="1" applyBorder="1" applyAlignment="1">
      <alignment horizontal="center" vertical="center"/>
    </xf>
    <xf numFmtId="3" fontId="115" fillId="38" borderId="239" xfId="4" applyNumberFormat="1" applyFont="1" applyFill="1" applyBorder="1" applyAlignment="1">
      <alignment horizontal="center" vertical="center"/>
    </xf>
    <xf numFmtId="3" fontId="38" fillId="38" borderId="0" xfId="4" applyNumberFormat="1" applyFill="1" applyAlignment="1">
      <alignment horizontal="center" vertical="center"/>
    </xf>
    <xf numFmtId="3" fontId="115" fillId="38" borderId="231" xfId="4" applyNumberFormat="1" applyFont="1" applyFill="1" applyBorder="1" applyAlignment="1" applyProtection="1">
      <alignment horizontal="center" vertical="center"/>
      <protection locked="0"/>
    </xf>
    <xf numFmtId="0" fontId="127" fillId="38" borderId="236" xfId="4" applyFont="1" applyFill="1" applyBorder="1" applyAlignment="1">
      <alignment horizontal="center" vertical="center"/>
    </xf>
    <xf numFmtId="0" fontId="38" fillId="59" borderId="236" xfId="4" applyFill="1" applyBorder="1" applyAlignment="1">
      <alignment horizontal="center" vertical="center"/>
    </xf>
    <xf numFmtId="3" fontId="115" fillId="60" borderId="239" xfId="4" applyNumberFormat="1" applyFont="1" applyFill="1" applyBorder="1" applyAlignment="1">
      <alignment horizontal="center" vertical="center"/>
    </xf>
    <xf numFmtId="0" fontId="115" fillId="38" borderId="231" xfId="4" applyFont="1" applyFill="1" applyBorder="1" applyAlignment="1" applyProtection="1">
      <alignment horizontal="center" vertical="center"/>
      <protection locked="0"/>
    </xf>
    <xf numFmtId="0" fontId="115" fillId="38" borderId="236" xfId="4" applyFont="1" applyFill="1" applyBorder="1" applyAlignment="1" applyProtection="1">
      <alignment horizontal="center" vertical="center"/>
      <protection locked="0"/>
    </xf>
    <xf numFmtId="3" fontId="115" fillId="60" borderId="260" xfId="4" applyNumberFormat="1" applyFont="1" applyFill="1" applyBorder="1" applyAlignment="1">
      <alignment horizontal="center" vertical="center"/>
    </xf>
    <xf numFmtId="9" fontId="38" fillId="58" borderId="231" xfId="6" applyFill="1" applyBorder="1" applyAlignment="1" applyProtection="1">
      <alignment horizontal="center" vertical="center"/>
    </xf>
    <xf numFmtId="182" fontId="115" fillId="38" borderId="254" xfId="6" applyNumberFormat="1" applyFont="1" applyFill="1" applyBorder="1" applyAlignment="1" applyProtection="1">
      <alignment horizontal="center" vertical="center"/>
    </xf>
    <xf numFmtId="182" fontId="115" fillId="58" borderId="236" xfId="4" applyNumberFormat="1" applyFont="1" applyFill="1" applyBorder="1" applyAlignment="1">
      <alignment horizontal="center" vertical="center"/>
    </xf>
    <xf numFmtId="182" fontId="115" fillId="38" borderId="236" xfId="4" applyNumberFormat="1" applyFont="1" applyFill="1" applyBorder="1" applyAlignment="1">
      <alignment horizontal="center" vertical="center"/>
    </xf>
    <xf numFmtId="180" fontId="38" fillId="38" borderId="231" xfId="7" applyNumberFormat="1" applyFill="1" applyBorder="1" applyAlignment="1" applyProtection="1">
      <alignment horizontal="center" vertical="center"/>
    </xf>
    <xf numFmtId="180" fontId="38" fillId="38" borderId="236" xfId="7" applyNumberFormat="1" applyFill="1" applyBorder="1" applyAlignment="1" applyProtection="1">
      <alignment horizontal="center" vertical="center"/>
    </xf>
    <xf numFmtId="182" fontId="38" fillId="38" borderId="236" xfId="6" applyNumberFormat="1" applyFill="1" applyBorder="1" applyAlignment="1" applyProtection="1">
      <alignment horizontal="center" vertical="center"/>
    </xf>
    <xf numFmtId="182" fontId="38" fillId="38" borderId="236" xfId="4" applyNumberFormat="1" applyFill="1" applyBorder="1" applyAlignment="1">
      <alignment horizontal="center" vertical="center"/>
    </xf>
    <xf numFmtId="3" fontId="38" fillId="38" borderId="231" xfId="4" applyNumberFormat="1" applyFill="1" applyBorder="1" applyAlignment="1">
      <alignment horizontal="center"/>
    </xf>
    <xf numFmtId="10" fontId="38" fillId="38" borderId="236" xfId="6" applyNumberFormat="1" applyFill="1" applyBorder="1" applyAlignment="1" applyProtection="1">
      <alignment horizontal="center"/>
    </xf>
    <xf numFmtId="182" fontId="38" fillId="38" borderId="236" xfId="7" applyNumberFormat="1" applyFill="1" applyBorder="1" applyAlignment="1" applyProtection="1">
      <alignment horizontal="center"/>
    </xf>
    <xf numFmtId="8" fontId="132" fillId="38" borderId="236" xfId="4" applyNumberFormat="1" applyFont="1" applyFill="1" applyBorder="1" applyAlignment="1">
      <alignment horizontal="center"/>
    </xf>
    <xf numFmtId="182" fontId="38" fillId="38" borderId="236" xfId="4" applyNumberFormat="1" applyFill="1" applyBorder="1" applyAlignment="1">
      <alignment horizontal="center"/>
    </xf>
    <xf numFmtId="6" fontId="132" fillId="38" borderId="236" xfId="4" applyNumberFormat="1" applyFont="1" applyFill="1" applyBorder="1" applyAlignment="1">
      <alignment horizontal="center"/>
    </xf>
    <xf numFmtId="8" fontId="115" fillId="38" borderId="236" xfId="4" applyNumberFormat="1" applyFont="1" applyFill="1" applyBorder="1" applyAlignment="1">
      <alignment horizontal="center"/>
    </xf>
    <xf numFmtId="0" fontId="115" fillId="58" borderId="277" xfId="4" applyFont="1" applyFill="1" applyBorder="1" applyAlignment="1">
      <alignment horizontal="center" vertical="center"/>
    </xf>
    <xf numFmtId="8" fontId="115" fillId="58" borderId="239" xfId="4" applyNumberFormat="1" applyFont="1" applyFill="1" applyBorder="1" applyAlignment="1">
      <alignment horizontal="center"/>
    </xf>
    <xf numFmtId="0" fontId="38" fillId="38" borderId="231" xfId="4" applyFill="1" applyBorder="1" applyAlignment="1">
      <alignment horizontal="center"/>
    </xf>
    <xf numFmtId="0" fontId="38" fillId="38" borderId="236" xfId="4" applyFill="1" applyBorder="1" applyAlignment="1">
      <alignment horizontal="center"/>
    </xf>
    <xf numFmtId="9" fontId="115" fillId="38" borderId="236" xfId="6" applyFont="1" applyFill="1" applyBorder="1" applyAlignment="1" applyProtection="1">
      <alignment horizontal="center"/>
    </xf>
    <xf numFmtId="0" fontId="38" fillId="38" borderId="239" xfId="4" applyFill="1" applyBorder="1" applyAlignment="1">
      <alignment horizontal="center"/>
    </xf>
    <xf numFmtId="0" fontId="115" fillId="58" borderId="231" xfId="4" applyFont="1" applyFill="1" applyBorder="1" applyAlignment="1">
      <alignment horizontal="center" vertical="center"/>
    </xf>
    <xf numFmtId="0" fontId="38" fillId="38" borderId="0" xfId="4" applyFill="1"/>
    <xf numFmtId="0" fontId="115" fillId="38" borderId="282" xfId="4" applyFont="1" applyFill="1" applyBorder="1" applyAlignment="1">
      <alignment horizontal="center" vertical="center" wrapText="1"/>
    </xf>
    <xf numFmtId="3" fontId="38" fillId="38" borderId="284" xfId="5" applyNumberFormat="1" applyFont="1" applyFill="1" applyBorder="1" applyAlignment="1" applyProtection="1">
      <alignment horizontal="center"/>
    </xf>
    <xf numFmtId="3" fontId="38" fillId="38" borderId="286" xfId="5" applyNumberFormat="1" applyFont="1" applyFill="1" applyBorder="1" applyAlignment="1" applyProtection="1">
      <alignment horizontal="center"/>
    </xf>
    <xf numFmtId="0" fontId="38" fillId="38" borderId="229" xfId="4" applyFill="1" applyBorder="1" applyAlignment="1">
      <alignment horizontal="left"/>
    </xf>
    <xf numFmtId="3" fontId="38" fillId="38" borderId="230" xfId="4" applyNumberFormat="1" applyFill="1" applyBorder="1" applyAlignment="1">
      <alignment horizontal="center"/>
    </xf>
    <xf numFmtId="0" fontId="38" fillId="38" borderId="234" xfId="4" applyFill="1" applyBorder="1" applyAlignment="1">
      <alignment horizontal="left"/>
    </xf>
    <xf numFmtId="10" fontId="38" fillId="38" borderId="235" xfId="6" applyNumberFormat="1" applyFill="1" applyBorder="1" applyAlignment="1" applyProtection="1">
      <alignment horizontal="center"/>
    </xf>
    <xf numFmtId="3" fontId="115" fillId="38" borderId="234" xfId="4" applyNumberFormat="1" applyFont="1" applyFill="1" applyBorder="1" applyAlignment="1" applyProtection="1">
      <alignment horizontal="left"/>
      <protection locked="0"/>
    </xf>
    <xf numFmtId="182" fontId="38" fillId="38" borderId="235" xfId="7" applyNumberFormat="1" applyFill="1" applyBorder="1" applyAlignment="1" applyProtection="1">
      <alignment horizontal="center"/>
    </xf>
    <xf numFmtId="0" fontId="132" fillId="38" borderId="234" xfId="4" applyFont="1" applyFill="1" applyBorder="1" applyAlignment="1">
      <alignment horizontal="left"/>
    </xf>
    <xf numFmtId="8" fontId="132" fillId="38" borderId="235" xfId="4" applyNumberFormat="1" applyFont="1" applyFill="1" applyBorder="1" applyAlignment="1">
      <alignment horizontal="center"/>
    </xf>
    <xf numFmtId="0" fontId="115" fillId="38" borderId="234" xfId="4" applyFont="1" applyFill="1" applyBorder="1" applyAlignment="1">
      <alignment horizontal="left"/>
    </xf>
    <xf numFmtId="8" fontId="115" fillId="38" borderId="235" xfId="4" applyNumberFormat="1" applyFont="1" applyFill="1" applyBorder="1" applyAlignment="1">
      <alignment horizontal="center"/>
    </xf>
    <xf numFmtId="0" fontId="38" fillId="38" borderId="269" xfId="4" applyFill="1" applyBorder="1" applyAlignment="1">
      <alignment horizontal="left" vertical="center"/>
    </xf>
    <xf numFmtId="180" fontId="38" fillId="38" borderId="270" xfId="7" applyNumberFormat="1" applyFill="1" applyBorder="1" applyAlignment="1" applyProtection="1">
      <alignment horizontal="center" vertical="center"/>
    </xf>
    <xf numFmtId="180" fontId="38" fillId="38" borderId="242" xfId="7" applyNumberFormat="1" applyFill="1" applyBorder="1" applyAlignment="1" applyProtection="1">
      <alignment horizontal="center" vertical="center"/>
    </xf>
    <xf numFmtId="0" fontId="115" fillId="38" borderId="234" xfId="4" applyFont="1" applyFill="1" applyBorder="1" applyAlignment="1">
      <alignment horizontal="left" vertical="center"/>
    </xf>
    <xf numFmtId="182" fontId="38" fillId="38" borderId="235" xfId="4" applyNumberFormat="1" applyFill="1" applyBorder="1" applyAlignment="1">
      <alignment horizontal="center" vertical="center"/>
    </xf>
    <xf numFmtId="182" fontId="38" fillId="38" borderId="235" xfId="6" applyNumberFormat="1" applyFill="1" applyBorder="1" applyAlignment="1" applyProtection="1">
      <alignment horizontal="center" vertical="center"/>
    </xf>
    <xf numFmtId="0" fontId="38" fillId="38" borderId="237" xfId="4" applyFill="1" applyBorder="1" applyAlignment="1">
      <alignment horizontal="left" vertical="center"/>
    </xf>
    <xf numFmtId="0" fontId="115" fillId="38" borderId="280" xfId="4" applyFont="1" applyFill="1" applyBorder="1" applyAlignment="1">
      <alignment horizontal="center" vertical="center"/>
    </xf>
    <xf numFmtId="0" fontId="115" fillId="38" borderId="281" xfId="4" applyFont="1" applyFill="1" applyBorder="1" applyAlignment="1">
      <alignment horizontal="center" vertical="center"/>
    </xf>
    <xf numFmtId="0" fontId="38" fillId="38" borderId="283" xfId="4" applyFill="1" applyBorder="1" applyAlignment="1">
      <alignment horizontal="center"/>
    </xf>
    <xf numFmtId="3" fontId="38" fillId="38" borderId="245" xfId="5" applyNumberFormat="1" applyFont="1" applyFill="1" applyBorder="1" applyAlignment="1" applyProtection="1">
      <alignment horizontal="center"/>
    </xf>
    <xf numFmtId="0" fontId="38" fillId="38" borderId="235" xfId="4" applyFill="1" applyBorder="1" applyAlignment="1">
      <alignment horizontal="center"/>
    </xf>
    <xf numFmtId="3" fontId="38" fillId="38" borderId="21" xfId="5" applyNumberFormat="1" applyFont="1" applyFill="1" applyBorder="1" applyAlignment="1" applyProtection="1">
      <alignment horizontal="center"/>
    </xf>
    <xf numFmtId="0" fontId="38" fillId="38" borderId="238" xfId="4" applyFill="1" applyBorder="1" applyAlignment="1">
      <alignment horizontal="center"/>
    </xf>
    <xf numFmtId="3" fontId="38" fillId="38" borderId="285" xfId="5" applyNumberFormat="1" applyFont="1" applyFill="1" applyBorder="1" applyAlignment="1" applyProtection="1">
      <alignment horizontal="center"/>
    </xf>
    <xf numFmtId="0" fontId="38" fillId="38" borderId="229" xfId="4" applyFill="1" applyBorder="1"/>
    <xf numFmtId="10" fontId="38" fillId="38" borderId="230" xfId="6" applyNumberFormat="1" applyFont="1" applyFill="1" applyBorder="1" applyAlignment="1" applyProtection="1">
      <alignment horizontal="center"/>
    </xf>
    <xf numFmtId="0" fontId="121" fillId="38" borderId="234" xfId="4" applyFont="1" applyFill="1" applyBorder="1"/>
    <xf numFmtId="6" fontId="121" fillId="38" borderId="235" xfId="5" applyNumberFormat="1" applyFont="1" applyFill="1" applyBorder="1" applyAlignment="1" applyProtection="1">
      <alignment horizontal="center"/>
    </xf>
    <xf numFmtId="0" fontId="115" fillId="38" borderId="234" xfId="4" applyFont="1" applyFill="1" applyBorder="1"/>
    <xf numFmtId="10" fontId="115" fillId="38" borderId="235" xfId="6" applyNumberFormat="1" applyFont="1" applyFill="1" applyBorder="1" applyAlignment="1" applyProtection="1">
      <alignment horizontal="center"/>
    </xf>
    <xf numFmtId="176" fontId="115" fillId="38" borderId="235" xfId="4" applyNumberFormat="1" applyFont="1" applyFill="1" applyBorder="1" applyAlignment="1">
      <alignment horizontal="center"/>
    </xf>
    <xf numFmtId="0" fontId="115" fillId="38" borderId="237" xfId="4" applyFont="1" applyFill="1" applyBorder="1"/>
    <xf numFmtId="176" fontId="115" fillId="38" borderId="238" xfId="4" applyNumberFormat="1" applyFont="1" applyFill="1" applyBorder="1" applyAlignment="1">
      <alignment horizontal="center"/>
    </xf>
    <xf numFmtId="0" fontId="38" fillId="38" borderId="232" xfId="4" applyFill="1" applyBorder="1"/>
    <xf numFmtId="183" fontId="115" fillId="38" borderId="235" xfId="4" applyNumberFormat="1" applyFont="1" applyFill="1" applyBorder="1" applyAlignment="1">
      <alignment horizontal="center"/>
    </xf>
    <xf numFmtId="0" fontId="133" fillId="38" borderId="234" xfId="4" applyFont="1" applyFill="1" applyBorder="1" applyAlignment="1">
      <alignment horizontal="left"/>
    </xf>
    <xf numFmtId="182" fontId="134" fillId="38" borderId="235" xfId="7" applyNumberFormat="1" applyFont="1" applyFill="1" applyBorder="1" applyAlignment="1" applyProtection="1">
      <alignment horizontal="center"/>
    </xf>
    <xf numFmtId="182" fontId="133" fillId="38" borderId="235" xfId="7" applyNumberFormat="1" applyFont="1" applyFill="1" applyBorder="1" applyAlignment="1" applyProtection="1">
      <alignment horizontal="center"/>
    </xf>
    <xf numFmtId="0" fontId="135" fillId="38" borderId="234" xfId="4" applyFont="1" applyFill="1" applyBorder="1" applyAlignment="1">
      <alignment horizontal="left"/>
    </xf>
    <xf numFmtId="182" fontId="135" fillId="38" borderId="210" xfId="7" applyNumberFormat="1" applyFont="1" applyFill="1" applyBorder="1" applyAlignment="1" applyProtection="1">
      <alignment horizontal="center"/>
    </xf>
    <xf numFmtId="6" fontId="38" fillId="38" borderId="235" xfId="4" applyNumberFormat="1" applyFill="1" applyBorder="1" applyAlignment="1">
      <alignment horizontal="center"/>
    </xf>
    <xf numFmtId="6" fontId="132" fillId="38" borderId="235" xfId="4" applyNumberFormat="1" applyFont="1" applyFill="1" applyBorder="1" applyAlignment="1">
      <alignment horizontal="center"/>
    </xf>
    <xf numFmtId="184" fontId="115" fillId="38" borderId="235" xfId="4" applyNumberFormat="1" applyFont="1" applyFill="1" applyBorder="1" applyAlignment="1">
      <alignment horizontal="center" vertical="center"/>
    </xf>
    <xf numFmtId="9" fontId="115" fillId="38" borderId="235" xfId="6" applyFont="1" applyFill="1" applyBorder="1" applyAlignment="1" applyProtection="1">
      <alignment horizontal="center"/>
    </xf>
    <xf numFmtId="185" fontId="115" fillId="38" borderId="235" xfId="4" applyNumberFormat="1" applyFont="1" applyFill="1" applyBorder="1" applyAlignment="1">
      <alignment horizontal="center" vertical="center"/>
    </xf>
    <xf numFmtId="0" fontId="115" fillId="38" borderId="232" xfId="4" applyFont="1" applyFill="1" applyBorder="1" applyAlignment="1">
      <alignment horizontal="left" vertical="center"/>
    </xf>
    <xf numFmtId="9" fontId="115" fillId="38" borderId="278" xfId="6" applyFont="1" applyFill="1" applyBorder="1" applyAlignment="1" applyProtection="1">
      <alignment horizontal="center"/>
    </xf>
    <xf numFmtId="0" fontId="115" fillId="38" borderId="279" xfId="4" applyFont="1" applyFill="1" applyBorder="1" applyAlignment="1">
      <alignment horizontal="left" vertical="center"/>
    </xf>
    <xf numFmtId="0" fontId="115" fillId="38" borderId="237" xfId="4" applyFont="1" applyFill="1" applyBorder="1" applyAlignment="1">
      <alignment horizontal="left" vertical="center"/>
    </xf>
    <xf numFmtId="185" fontId="115" fillId="38" borderId="238" xfId="4" applyNumberFormat="1" applyFont="1" applyFill="1" applyBorder="1" applyAlignment="1">
      <alignment horizontal="center" vertical="center"/>
    </xf>
    <xf numFmtId="0" fontId="145" fillId="62" borderId="32" xfId="0" applyFont="1" applyFill="1" applyBorder="1" applyAlignment="1">
      <alignment horizontal="left"/>
    </xf>
    <xf numFmtId="0" fontId="145" fillId="62" borderId="33" xfId="0" applyFont="1" applyFill="1" applyBorder="1" applyAlignment="1">
      <alignment horizontal="center"/>
    </xf>
    <xf numFmtId="0" fontId="146" fillId="11" borderId="167" xfId="0" applyFont="1" applyFill="1" applyBorder="1" applyAlignment="1">
      <alignment horizontal="center" vertical="center"/>
    </xf>
    <xf numFmtId="0" fontId="64" fillId="12" borderId="28" xfId="0" applyFont="1" applyFill="1" applyBorder="1" applyAlignment="1">
      <alignment horizontal="center" vertical="center"/>
    </xf>
    <xf numFmtId="0" fontId="0" fillId="0" borderId="28" xfId="0" applyBorder="1" applyAlignment="1">
      <alignment horizontal="center"/>
    </xf>
    <xf numFmtId="0" fontId="14" fillId="7" borderId="28" xfId="0" applyFont="1" applyFill="1" applyBorder="1" applyAlignment="1">
      <alignment horizontal="center" wrapText="1"/>
    </xf>
    <xf numFmtId="0" fontId="14" fillId="7" borderId="49" xfId="0" applyFont="1" applyFill="1" applyBorder="1" applyAlignment="1">
      <alignment horizontal="center" wrapText="1"/>
    </xf>
    <xf numFmtId="0" fontId="64" fillId="12" borderId="22" xfId="0" applyFont="1" applyFill="1" applyBorder="1" applyAlignment="1">
      <alignment horizontal="center" vertical="center"/>
    </xf>
    <xf numFmtId="0" fontId="0" fillId="12" borderId="22" xfId="0" applyFill="1" applyBorder="1" applyAlignment="1">
      <alignment horizontal="center" vertical="center"/>
    </xf>
    <xf numFmtId="0" fontId="0" fillId="12" borderId="23" xfId="0" applyFill="1" applyBorder="1" applyAlignment="1">
      <alignment horizontal="center" vertical="center"/>
    </xf>
    <xf numFmtId="0" fontId="147" fillId="63" borderId="31" xfId="0" applyFont="1" applyFill="1" applyBorder="1" applyAlignment="1">
      <alignment horizontal="center" vertical="top"/>
    </xf>
    <xf numFmtId="0" fontId="147" fillId="63" borderId="27" xfId="0" applyFont="1" applyFill="1" applyBorder="1" applyAlignment="1">
      <alignment horizontal="center" vertical="top"/>
    </xf>
    <xf numFmtId="10" fontId="0" fillId="0" borderId="28" xfId="0" applyNumberFormat="1" applyBorder="1"/>
    <xf numFmtId="164" fontId="0" fillId="7" borderId="22" xfId="0" applyNumberFormat="1" applyFill="1" applyBorder="1" applyAlignment="1">
      <alignment horizontal="center" vertical="center" wrapText="1"/>
    </xf>
    <xf numFmtId="0" fontId="64" fillId="12" borderId="23" xfId="0" applyFont="1" applyFill="1" applyBorder="1" applyAlignment="1">
      <alignment horizontal="center" vertical="center"/>
    </xf>
    <xf numFmtId="0" fontId="65" fillId="7" borderId="23" xfId="0" applyFont="1" applyFill="1" applyBorder="1" applyAlignment="1">
      <alignment horizontal="center"/>
    </xf>
    <xf numFmtId="0" fontId="65" fillId="7" borderId="52" xfId="0" applyFont="1" applyFill="1" applyBorder="1" applyAlignment="1">
      <alignment horizontal="center"/>
    </xf>
    <xf numFmtId="166" fontId="14" fillId="7" borderId="28" xfId="0" applyNumberFormat="1" applyFont="1" applyFill="1" applyBorder="1" applyAlignment="1">
      <alignment horizontal="center" wrapText="1"/>
    </xf>
    <xf numFmtId="166" fontId="14" fillId="7" borderId="49" xfId="0" applyNumberFormat="1" applyFont="1" applyFill="1" applyBorder="1" applyAlignment="1">
      <alignment horizontal="center" wrapText="1"/>
    </xf>
    <xf numFmtId="0" fontId="0" fillId="7" borderId="22" xfId="0" applyFill="1" applyBorder="1" applyAlignment="1">
      <alignment horizontal="center" vertical="center"/>
    </xf>
    <xf numFmtId="0" fontId="0" fillId="7" borderId="23" xfId="0" applyFill="1" applyBorder="1" applyAlignment="1">
      <alignment horizontal="center" vertical="center"/>
    </xf>
    <xf numFmtId="165" fontId="0" fillId="7" borderId="23" xfId="0" applyNumberFormat="1" applyFill="1" applyBorder="1" applyAlignment="1">
      <alignment horizontal="center"/>
    </xf>
    <xf numFmtId="0" fontId="64" fillId="12" borderId="165" xfId="0" applyFont="1" applyFill="1" applyBorder="1" applyAlignment="1">
      <alignment horizontal="center" vertical="center"/>
    </xf>
    <xf numFmtId="0" fontId="146" fillId="11" borderId="155" xfId="0" applyFont="1" applyFill="1" applyBorder="1" applyAlignment="1">
      <alignment horizontal="center" vertical="center"/>
    </xf>
    <xf numFmtId="179" fontId="147" fillId="0" borderId="101" xfId="0" applyNumberFormat="1" applyFont="1" applyBorder="1" applyAlignment="1">
      <alignment horizontal="center"/>
    </xf>
    <xf numFmtId="173" fontId="147" fillId="7" borderId="63" xfId="0" applyNumberFormat="1" applyFont="1" applyFill="1" applyBorder="1" applyAlignment="1">
      <alignment vertical="top" wrapText="1"/>
    </xf>
    <xf numFmtId="0" fontId="0" fillId="12" borderId="22" xfId="0" applyFill="1" applyBorder="1"/>
    <xf numFmtId="0" fontId="0" fillId="2" borderId="30" xfId="0" applyFill="1" applyBorder="1" applyAlignment="1">
      <alignment vertical="top" wrapText="1"/>
    </xf>
    <xf numFmtId="0" fontId="0" fillId="2" borderId="47" xfId="0" applyFill="1" applyBorder="1" applyAlignment="1">
      <alignment vertical="top" wrapText="1"/>
    </xf>
    <xf numFmtId="179" fontId="147" fillId="7" borderId="101" xfId="0" applyNumberFormat="1" applyFont="1" applyFill="1" applyBorder="1" applyAlignment="1">
      <alignment horizontal="center"/>
    </xf>
    <xf numFmtId="0" fontId="0" fillId="2" borderId="0" xfId="0" applyFill="1" applyAlignment="1">
      <alignment vertical="top" wrapText="1"/>
    </xf>
    <xf numFmtId="0" fontId="0" fillId="2" borderId="38" xfId="0" applyFill="1" applyBorder="1" applyAlignment="1">
      <alignment vertical="top" wrapText="1"/>
    </xf>
    <xf numFmtId="179" fontId="151" fillId="7" borderId="108" xfId="0" applyNumberFormat="1" applyFont="1" applyFill="1" applyBorder="1" applyAlignment="1">
      <alignment horizontal="center"/>
    </xf>
    <xf numFmtId="179" fontId="151" fillId="0" borderId="106" xfId="0" applyNumberFormat="1" applyFont="1" applyBorder="1" applyAlignment="1">
      <alignment horizontal="center"/>
    </xf>
    <xf numFmtId="179" fontId="151" fillId="0" borderId="107" xfId="0" applyNumberFormat="1" applyFont="1" applyBorder="1" applyAlignment="1">
      <alignment horizontal="center"/>
    </xf>
    <xf numFmtId="179" fontId="147" fillId="62" borderId="101" xfId="0" applyNumberFormat="1" applyFont="1" applyFill="1" applyBorder="1" applyAlignment="1">
      <alignment horizontal="center"/>
    </xf>
    <xf numFmtId="173" fontId="147" fillId="7" borderId="58" xfId="0" applyNumberFormat="1" applyFont="1" applyFill="1" applyBorder="1" applyAlignment="1">
      <alignment vertical="top" wrapText="1"/>
    </xf>
    <xf numFmtId="0" fontId="0" fillId="12" borderId="23" xfId="0" applyFill="1" applyBorder="1"/>
    <xf numFmtId="0" fontId="153" fillId="2" borderId="144" xfId="0" applyFont="1" applyFill="1" applyBorder="1" applyAlignment="1">
      <alignment horizontal="left" vertical="center"/>
    </xf>
    <xf numFmtId="0" fontId="154" fillId="2" borderId="145" xfId="0" applyFont="1" applyFill="1" applyBorder="1"/>
    <xf numFmtId="0" fontId="155" fillId="2" borderId="145" xfId="0" applyFont="1" applyFill="1" applyBorder="1" applyAlignment="1">
      <alignment horizontal="left" vertical="center"/>
    </xf>
    <xf numFmtId="0" fontId="156" fillId="2" borderId="145" xfId="0" applyFont="1" applyFill="1" applyBorder="1"/>
    <xf numFmtId="0" fontId="156" fillId="2" borderId="124" xfId="0" applyFont="1" applyFill="1" applyBorder="1"/>
    <xf numFmtId="0" fontId="157" fillId="2" borderId="124" xfId="0" applyFont="1" applyFill="1" applyBorder="1"/>
    <xf numFmtId="0" fontId="157" fillId="2" borderId="125" xfId="0" applyFont="1" applyFill="1" applyBorder="1"/>
    <xf numFmtId="0" fontId="35" fillId="9" borderId="9" xfId="0" applyFont="1" applyFill="1" applyBorder="1" applyAlignment="1">
      <alignment wrapText="1"/>
    </xf>
    <xf numFmtId="0" fontId="35" fillId="9" borderId="183" xfId="0" applyFont="1" applyFill="1" applyBorder="1" applyAlignment="1">
      <alignment wrapText="1"/>
    </xf>
    <xf numFmtId="0" fontId="158" fillId="0" borderId="0" xfId="0" applyFont="1" applyAlignment="1">
      <alignment vertical="center"/>
    </xf>
    <xf numFmtId="1" fontId="151" fillId="7" borderId="22" xfId="0" applyNumberFormat="1" applyFont="1" applyFill="1" applyBorder="1" applyAlignment="1">
      <alignment vertical="center" wrapText="1"/>
    </xf>
    <xf numFmtId="0" fontId="151" fillId="0" borderId="22" xfId="0" applyFont="1" applyBorder="1" applyAlignment="1">
      <alignment horizontal="center" vertical="center"/>
    </xf>
    <xf numFmtId="0" fontId="151" fillId="0" borderId="22" xfId="0" applyFont="1" applyBorder="1" applyAlignment="1">
      <alignment horizontal="center" vertical="center" wrapText="1"/>
    </xf>
    <xf numFmtId="0" fontId="151" fillId="0" borderId="36" xfId="0" applyFont="1" applyBorder="1" applyAlignment="1">
      <alignment horizontal="center" vertical="center" wrapText="1"/>
    </xf>
    <xf numFmtId="0" fontId="151" fillId="12" borderId="22" xfId="0" applyFont="1" applyFill="1" applyBorder="1" applyAlignment="1">
      <alignment horizontal="center" vertical="center"/>
    </xf>
    <xf numFmtId="0" fontId="151" fillId="12" borderId="36" xfId="0" applyFont="1" applyFill="1" applyBorder="1" applyAlignment="1">
      <alignment horizontal="center" vertical="center"/>
    </xf>
    <xf numFmtId="0" fontId="151" fillId="12" borderId="23" xfId="0" applyFont="1" applyFill="1" applyBorder="1" applyAlignment="1">
      <alignment horizontal="center" vertical="center" wrapText="1"/>
    </xf>
    <xf numFmtId="0" fontId="151" fillId="12" borderId="52" xfId="0" applyFont="1" applyFill="1" applyBorder="1" applyAlignment="1">
      <alignment horizontal="center" vertical="center" wrapText="1"/>
    </xf>
    <xf numFmtId="0" fontId="147" fillId="63" borderId="64" xfId="0" applyFont="1" applyFill="1" applyBorder="1" applyAlignment="1">
      <alignment horizontal="left" vertical="center" wrapText="1"/>
    </xf>
    <xf numFmtId="167" fontId="23" fillId="7" borderId="22" xfId="0" applyNumberFormat="1" applyFont="1" applyFill="1" applyBorder="1" applyAlignment="1">
      <alignment horizontal="center" vertical="center" wrapText="1"/>
    </xf>
    <xf numFmtId="167" fontId="44" fillId="0" borderId="22" xfId="0" applyNumberFormat="1" applyFont="1" applyBorder="1" applyAlignment="1">
      <alignment horizontal="center" vertical="center" wrapText="1"/>
    </xf>
    <xf numFmtId="167" fontId="44" fillId="0" borderId="36" xfId="0" applyNumberFormat="1" applyFont="1" applyBorder="1" applyAlignment="1">
      <alignment horizontal="center" vertical="center" wrapText="1"/>
    </xf>
    <xf numFmtId="164" fontId="23" fillId="7" borderId="22" xfId="0" applyNumberFormat="1" applyFont="1" applyFill="1" applyBorder="1" applyAlignment="1">
      <alignment horizontal="center" vertical="center" wrapText="1"/>
    </xf>
    <xf numFmtId="175" fontId="44" fillId="0" borderId="22" xfId="0" applyNumberFormat="1" applyFont="1" applyBorder="1" applyAlignment="1">
      <alignment horizontal="center" vertical="center"/>
    </xf>
    <xf numFmtId="175" fontId="44" fillId="0" borderId="36" xfId="0" applyNumberFormat="1" applyFont="1" applyBorder="1" applyAlignment="1">
      <alignment horizontal="center" vertical="center"/>
    </xf>
    <xf numFmtId="0" fontId="147" fillId="65" borderId="64" xfId="0" applyFont="1" applyFill="1" applyBorder="1" applyAlignment="1">
      <alignment horizontal="left" vertical="center" wrapText="1"/>
    </xf>
    <xf numFmtId="175" fontId="44" fillId="0" borderId="22" xfId="0" applyNumberFormat="1" applyFont="1" applyBorder="1" applyAlignment="1">
      <alignment horizontal="center" vertical="center" wrapText="1"/>
    </xf>
    <xf numFmtId="175" fontId="44" fillId="0" borderId="36" xfId="0" applyNumberFormat="1" applyFont="1" applyBorder="1" applyAlignment="1">
      <alignment horizontal="center" vertical="center" wrapText="1"/>
    </xf>
    <xf numFmtId="0" fontId="44" fillId="0" borderId="22" xfId="0" applyFont="1" applyBorder="1" applyAlignment="1">
      <alignment horizontal="center" vertical="center" wrapText="1"/>
    </xf>
    <xf numFmtId="0" fontId="44" fillId="0" borderId="36" xfId="0" applyFont="1" applyBorder="1" applyAlignment="1">
      <alignment horizontal="center" vertical="center" wrapText="1"/>
    </xf>
    <xf numFmtId="164" fontId="44" fillId="0" borderId="22" xfId="0" applyNumberFormat="1" applyFont="1" applyBorder="1" applyAlignment="1">
      <alignment horizontal="left" vertical="center"/>
    </xf>
    <xf numFmtId="164" fontId="44" fillId="0" borderId="36" xfId="0" applyNumberFormat="1" applyFont="1" applyBorder="1" applyAlignment="1">
      <alignment horizontal="left" vertical="center"/>
    </xf>
    <xf numFmtId="164" fontId="43" fillId="7" borderId="22" xfId="0" applyNumberFormat="1" applyFont="1" applyFill="1" applyBorder="1" applyAlignment="1">
      <alignment horizontal="center" vertical="center" wrapText="1"/>
    </xf>
    <xf numFmtId="164" fontId="44" fillId="0" borderId="22" xfId="0" applyNumberFormat="1" applyFont="1" applyBorder="1" applyAlignment="1">
      <alignment horizontal="center" vertical="center" wrapText="1"/>
    </xf>
    <xf numFmtId="164" fontId="44" fillId="0" borderId="36" xfId="0" applyNumberFormat="1" applyFont="1" applyBorder="1" applyAlignment="1">
      <alignment horizontal="center" vertical="center" wrapText="1"/>
    </xf>
    <xf numFmtId="177" fontId="23" fillId="7" borderId="22" xfId="0" applyNumberFormat="1" applyFont="1" applyFill="1" applyBorder="1" applyAlignment="1">
      <alignment horizontal="center" vertical="center" wrapText="1"/>
    </xf>
    <xf numFmtId="177" fontId="44" fillId="0" borderId="22" xfId="0" applyNumberFormat="1" applyFont="1" applyBorder="1" applyAlignment="1">
      <alignment horizontal="center" vertical="center" wrapText="1"/>
    </xf>
    <xf numFmtId="177" fontId="44" fillId="0" borderId="36" xfId="0" applyNumberFormat="1" applyFont="1" applyBorder="1" applyAlignment="1">
      <alignment horizontal="center" vertical="center" wrapText="1"/>
    </xf>
    <xf numFmtId="178" fontId="23" fillId="7" borderId="22" xfId="0" applyNumberFormat="1" applyFont="1" applyFill="1" applyBorder="1" applyAlignment="1">
      <alignment horizontal="center" vertical="center" wrapText="1"/>
    </xf>
    <xf numFmtId="175" fontId="0" fillId="0" borderId="22" xfId="0" applyNumberFormat="1" applyBorder="1" applyAlignment="1">
      <alignment horizontal="center" vertical="center" wrapText="1"/>
    </xf>
    <xf numFmtId="175" fontId="0" fillId="0" borderId="36" xfId="0" applyNumberFormat="1" applyBorder="1" applyAlignment="1">
      <alignment horizontal="center" vertical="center" wrapText="1"/>
    </xf>
    <xf numFmtId="0" fontId="147" fillId="63" borderId="157" xfId="0" applyFont="1" applyFill="1" applyBorder="1" applyAlignment="1">
      <alignment horizontal="left" vertical="center" wrapText="1"/>
    </xf>
    <xf numFmtId="0" fontId="147" fillId="63" borderId="22" xfId="0" applyFont="1" applyFill="1" applyBorder="1" applyAlignment="1">
      <alignment horizontal="left" vertical="center" wrapText="1"/>
    </xf>
    <xf numFmtId="178" fontId="23" fillId="7" borderId="63" xfId="0" applyNumberFormat="1" applyFont="1" applyFill="1" applyBorder="1" applyAlignment="1">
      <alignment horizontal="center" vertical="center" wrapText="1"/>
    </xf>
    <xf numFmtId="175" fontId="0" fillId="7" borderId="22" xfId="0" applyNumberFormat="1" applyFill="1" applyBorder="1" applyAlignment="1">
      <alignment horizontal="center" vertical="center" wrapText="1"/>
    </xf>
    <xf numFmtId="175" fontId="0" fillId="7" borderId="36" xfId="0" applyNumberFormat="1" applyFill="1" applyBorder="1" applyAlignment="1">
      <alignment horizontal="center" vertical="center" wrapText="1"/>
    </xf>
    <xf numFmtId="0" fontId="23" fillId="7" borderId="22" xfId="0" applyFont="1" applyFill="1" applyBorder="1" applyAlignment="1">
      <alignment horizontal="center" vertical="center" wrapText="1"/>
    </xf>
    <xf numFmtId="0" fontId="0" fillId="7" borderId="22" xfId="0" applyFill="1" applyBorder="1" applyAlignment="1">
      <alignment horizontal="center" vertical="center" wrapText="1"/>
    </xf>
    <xf numFmtId="0" fontId="0" fillId="7" borderId="36" xfId="0" applyFill="1" applyBorder="1" applyAlignment="1">
      <alignment horizontal="center" vertical="center" wrapText="1"/>
    </xf>
    <xf numFmtId="0" fontId="35" fillId="14" borderId="120" xfId="0" applyFont="1" applyFill="1" applyBorder="1" applyAlignment="1">
      <alignment horizontal="center"/>
    </xf>
    <xf numFmtId="167" fontId="0" fillId="0" borderId="22" xfId="0" applyNumberFormat="1" applyBorder="1" applyAlignment="1">
      <alignment horizontal="center" vertical="center" wrapText="1"/>
    </xf>
    <xf numFmtId="167" fontId="0" fillId="0" borderId="36" xfId="0" applyNumberFormat="1" applyBorder="1" applyAlignment="1">
      <alignment horizontal="center" vertical="center" wrapText="1"/>
    </xf>
    <xf numFmtId="175" fontId="0" fillId="0" borderId="22" xfId="0" applyNumberFormat="1" applyBorder="1" applyAlignment="1">
      <alignment horizontal="center" vertical="center"/>
    </xf>
    <xf numFmtId="175" fontId="0" fillId="0" borderId="36" xfId="0" applyNumberFormat="1" applyBorder="1" applyAlignment="1">
      <alignment horizontal="center" vertical="center"/>
    </xf>
    <xf numFmtId="0" fontId="5" fillId="7" borderId="32" xfId="0" applyFont="1" applyFill="1" applyBorder="1" applyAlignment="1">
      <alignment horizontal="right" vertical="center" wrapText="1"/>
    </xf>
    <xf numFmtId="174" fontId="5" fillId="7" borderId="34" xfId="0" applyNumberFormat="1" applyFont="1" applyFill="1" applyBorder="1" applyAlignment="1">
      <alignment horizontal="center" vertical="center" wrapText="1"/>
    </xf>
    <xf numFmtId="0" fontId="5" fillId="7" borderId="37" xfId="0" applyFont="1" applyFill="1" applyBorder="1" applyAlignment="1">
      <alignment horizontal="right" vertical="center" wrapText="1"/>
    </xf>
    <xf numFmtId="174" fontId="5" fillId="7" borderId="38" xfId="0" applyNumberFormat="1" applyFont="1" applyFill="1" applyBorder="1" applyAlignment="1">
      <alignment horizontal="center" vertical="center" wrapText="1"/>
    </xf>
    <xf numFmtId="0" fontId="5" fillId="7" borderId="39" xfId="0" applyFont="1" applyFill="1" applyBorder="1" applyAlignment="1">
      <alignment horizontal="right" vertical="center" wrapText="1"/>
    </xf>
    <xf numFmtId="174" fontId="5" fillId="7" borderId="41" xfId="0" applyNumberFormat="1" applyFont="1" applyFill="1" applyBorder="1" applyAlignment="1">
      <alignment horizontal="center" vertical="center" wrapText="1"/>
    </xf>
    <xf numFmtId="0" fontId="35" fillId="14" borderId="28" xfId="0" applyFont="1" applyFill="1" applyBorder="1" applyAlignment="1">
      <alignment horizontal="center"/>
    </xf>
    <xf numFmtId="164" fontId="152" fillId="63" borderId="23" xfId="0" applyNumberFormat="1" applyFont="1" applyFill="1" applyBorder="1" applyAlignment="1">
      <alignment horizontal="left" vertical="center" wrapText="1"/>
    </xf>
    <xf numFmtId="175" fontId="23" fillId="7" borderId="23" xfId="0" applyNumberFormat="1" applyFont="1" applyFill="1" applyBorder="1" applyAlignment="1">
      <alignment horizontal="center" vertical="center" wrapText="1"/>
    </xf>
    <xf numFmtId="175" fontId="0" fillId="7" borderId="23" xfId="0" applyNumberFormat="1" applyFill="1" applyBorder="1" applyAlignment="1">
      <alignment horizontal="center" vertical="center" wrapText="1"/>
    </xf>
    <xf numFmtId="175" fontId="0" fillId="7" borderId="52" xfId="0" applyNumberFormat="1" applyFill="1" applyBorder="1" applyAlignment="1">
      <alignment horizontal="center" vertical="center" wrapText="1"/>
    </xf>
    <xf numFmtId="177" fontId="0" fillId="0" borderId="22" xfId="0" applyNumberFormat="1" applyBorder="1" applyAlignment="1">
      <alignment horizontal="center" vertical="center" wrapText="1"/>
    </xf>
    <xf numFmtId="0" fontId="147" fillId="63" borderId="62" xfId="0" applyFont="1" applyFill="1" applyBorder="1" applyAlignment="1">
      <alignment horizontal="left" vertical="center" wrapText="1"/>
    </xf>
    <xf numFmtId="0" fontId="150" fillId="65" borderId="65" xfId="0" applyFont="1" applyFill="1" applyBorder="1" applyAlignment="1">
      <alignment horizontal="right" vertical="center" wrapText="1"/>
    </xf>
    <xf numFmtId="0" fontId="150" fillId="65" borderId="62" xfId="0" applyFont="1" applyFill="1" applyBorder="1" applyAlignment="1">
      <alignment horizontal="right" vertical="center" wrapText="1"/>
    </xf>
    <xf numFmtId="0" fontId="150" fillId="65" borderId="304" xfId="0" applyFont="1" applyFill="1" applyBorder="1" applyAlignment="1">
      <alignment horizontal="right" vertical="center" wrapText="1"/>
    </xf>
    <xf numFmtId="164" fontId="43" fillId="7" borderId="62" xfId="0" applyNumberFormat="1" applyFont="1" applyFill="1" applyBorder="1" applyAlignment="1">
      <alignment horizontal="center" vertical="center" wrapText="1"/>
    </xf>
    <xf numFmtId="0" fontId="4" fillId="35" borderId="0" xfId="0" applyFont="1" applyFill="1"/>
    <xf numFmtId="0" fontId="151" fillId="12" borderId="63" xfId="0" applyFont="1" applyFill="1" applyBorder="1" applyAlignment="1">
      <alignment horizontal="center" vertical="center"/>
    </xf>
    <xf numFmtId="0" fontId="151" fillId="12" borderId="58" xfId="0" applyFont="1" applyFill="1" applyBorder="1" applyAlignment="1">
      <alignment horizontal="center" vertical="center" wrapText="1"/>
    </xf>
    <xf numFmtId="1" fontId="151" fillId="7" borderId="63" xfId="0" applyNumberFormat="1" applyFont="1" applyFill="1" applyBorder="1" applyAlignment="1">
      <alignment vertical="center" wrapText="1"/>
    </xf>
    <xf numFmtId="0" fontId="151" fillId="0" borderId="63" xfId="0" applyFont="1" applyBorder="1" applyAlignment="1">
      <alignment horizontal="center" vertical="center" wrapText="1"/>
    </xf>
    <xf numFmtId="0" fontId="151" fillId="12" borderId="311" xfId="0" applyFont="1" applyFill="1" applyBorder="1" applyAlignment="1">
      <alignment horizontal="center" vertical="center" wrapText="1"/>
    </xf>
    <xf numFmtId="0" fontId="151" fillId="12" borderId="27" xfId="0" applyFont="1" applyFill="1" applyBorder="1" applyAlignment="1">
      <alignment horizontal="center" vertical="center"/>
    </xf>
    <xf numFmtId="0" fontId="151" fillId="12" borderId="313" xfId="0" applyFont="1" applyFill="1" applyBorder="1" applyAlignment="1">
      <alignment horizontal="center" vertical="center"/>
    </xf>
    <xf numFmtId="0" fontId="151" fillId="0" borderId="318" xfId="0" applyFont="1" applyBorder="1" applyAlignment="1">
      <alignment horizontal="center" vertical="center"/>
    </xf>
    <xf numFmtId="0" fontId="151" fillId="0" borderId="319" xfId="0" applyFont="1" applyBorder="1" applyAlignment="1">
      <alignment horizontal="center" vertical="center" wrapText="1"/>
    </xf>
    <xf numFmtId="0" fontId="4" fillId="2" borderId="308" xfId="0" applyFont="1" applyFill="1" applyBorder="1"/>
    <xf numFmtId="0" fontId="23" fillId="2" borderId="0" xfId="0" applyFont="1" applyFill="1" applyAlignment="1">
      <alignment horizontal="center"/>
    </xf>
    <xf numFmtId="0" fontId="165" fillId="14" borderId="28" xfId="0" applyFont="1" applyFill="1" applyBorder="1" applyAlignment="1">
      <alignment horizontal="center"/>
    </xf>
    <xf numFmtId="167" fontId="44" fillId="7" borderId="22" xfId="0" applyNumberFormat="1" applyFont="1" applyFill="1" applyBorder="1" applyAlignment="1">
      <alignment horizontal="center" vertical="center" wrapText="1"/>
    </xf>
    <xf numFmtId="164" fontId="44" fillId="7" borderId="22" xfId="0" applyNumberFormat="1" applyFont="1" applyFill="1" applyBorder="1" applyAlignment="1">
      <alignment horizontal="center" vertical="center" wrapText="1"/>
    </xf>
    <xf numFmtId="177" fontId="44" fillId="7" borderId="22" xfId="0" applyNumberFormat="1" applyFont="1" applyFill="1" applyBorder="1" applyAlignment="1">
      <alignment horizontal="center" vertical="center" wrapText="1"/>
    </xf>
    <xf numFmtId="0" fontId="44" fillId="2" borderId="308" xfId="0" applyFont="1" applyFill="1" applyBorder="1"/>
    <xf numFmtId="0" fontId="45" fillId="2" borderId="75" xfId="0" applyFont="1" applyFill="1" applyBorder="1" applyAlignment="1">
      <alignment horizontal="center"/>
    </xf>
    <xf numFmtId="0" fontId="44" fillId="2" borderId="214" xfId="0" applyFont="1" applyFill="1" applyBorder="1"/>
    <xf numFmtId="0" fontId="168" fillId="2" borderId="144" xfId="0" applyFont="1" applyFill="1" applyBorder="1" applyAlignment="1">
      <alignment horizontal="left" vertical="center"/>
    </xf>
    <xf numFmtId="0" fontId="169" fillId="2" borderId="145" xfId="0" applyFont="1" applyFill="1" applyBorder="1"/>
    <xf numFmtId="0" fontId="170" fillId="2" borderId="145" xfId="0" applyFont="1" applyFill="1" applyBorder="1" applyAlignment="1">
      <alignment horizontal="left" vertical="center"/>
    </xf>
    <xf numFmtId="0" fontId="171" fillId="2" borderId="145" xfId="0" applyFont="1" applyFill="1" applyBorder="1"/>
    <xf numFmtId="0" fontId="171" fillId="2" borderId="124" xfId="0" applyFont="1" applyFill="1" applyBorder="1"/>
    <xf numFmtId="0" fontId="172" fillId="2" borderId="124" xfId="0" applyFont="1" applyFill="1" applyBorder="1"/>
    <xf numFmtId="0" fontId="172" fillId="2" borderId="125" xfId="0" applyFont="1" applyFill="1" applyBorder="1"/>
    <xf numFmtId="0" fontId="173" fillId="2" borderId="32" xfId="0" applyFont="1" applyFill="1" applyBorder="1"/>
    <xf numFmtId="0" fontId="43" fillId="2" borderId="33" xfId="0" applyFont="1" applyFill="1" applyBorder="1"/>
    <xf numFmtId="0" fontId="44" fillId="2" borderId="33" xfId="0" applyFont="1" applyFill="1" applyBorder="1"/>
    <xf numFmtId="0" fontId="44" fillId="2" borderId="147" xfId="0" applyFont="1" applyFill="1" applyBorder="1"/>
    <xf numFmtId="0" fontId="43" fillId="2" borderId="37" xfId="0" applyFont="1" applyFill="1" applyBorder="1"/>
    <xf numFmtId="0" fontId="43" fillId="2" borderId="68" xfId="0" applyFont="1" applyFill="1" applyBorder="1"/>
    <xf numFmtId="0" fontId="43" fillId="2" borderId="149" xfId="0" applyFont="1" applyFill="1" applyBorder="1"/>
    <xf numFmtId="0" fontId="43" fillId="2" borderId="150" xfId="0" applyFont="1" applyFill="1" applyBorder="1"/>
    <xf numFmtId="0" fontId="43" fillId="2" borderId="131" xfId="0" applyFont="1" applyFill="1" applyBorder="1"/>
    <xf numFmtId="0" fontId="43" fillId="2" borderId="0" xfId="0" applyFont="1" applyFill="1"/>
    <xf numFmtId="17" fontId="43" fillId="2" borderId="22" xfId="0" applyNumberFormat="1" applyFont="1" applyFill="1" applyBorder="1"/>
    <xf numFmtId="0" fontId="43" fillId="2" borderId="22" xfId="0" applyFont="1" applyFill="1" applyBorder="1" applyAlignment="1">
      <alignment horizontal="right"/>
    </xf>
    <xf numFmtId="17" fontId="43" fillId="2" borderId="22" xfId="0" applyNumberFormat="1" applyFont="1" applyFill="1" applyBorder="1" applyAlignment="1">
      <alignment vertical="center"/>
    </xf>
    <xf numFmtId="0" fontId="44" fillId="2" borderId="28" xfId="0" applyFont="1" applyFill="1" applyBorder="1"/>
    <xf numFmtId="0" fontId="44" fillId="2" borderId="22" xfId="0" applyFont="1" applyFill="1" applyBorder="1"/>
    <xf numFmtId="0" fontId="44" fillId="2" borderId="23" xfId="0" applyFont="1" applyFill="1" applyBorder="1"/>
    <xf numFmtId="1" fontId="151" fillId="66" borderId="63" xfId="0" applyNumberFormat="1" applyFont="1" applyFill="1" applyBorder="1" applyAlignment="1">
      <alignment vertical="center" wrapText="1"/>
    </xf>
    <xf numFmtId="0" fontId="14" fillId="7" borderId="26" xfId="0" applyFont="1" applyFill="1" applyBorder="1" applyAlignment="1">
      <alignment horizontal="center" vertical="center" wrapText="1"/>
    </xf>
    <xf numFmtId="0" fontId="14" fillId="7" borderId="31" xfId="0" applyFont="1" applyFill="1" applyBorder="1" applyAlignment="1">
      <alignment horizontal="center" vertical="center" wrapText="1"/>
    </xf>
    <xf numFmtId="0" fontId="14" fillId="7" borderId="48" xfId="0" applyFont="1" applyFill="1" applyBorder="1" applyAlignment="1">
      <alignment horizontal="center" vertical="center" wrapText="1"/>
    </xf>
    <xf numFmtId="0" fontId="89" fillId="0" borderId="0" xfId="0" applyFont="1" applyAlignment="1">
      <alignment vertical="center" wrapText="1"/>
    </xf>
    <xf numFmtId="0" fontId="39" fillId="12" borderId="21" xfId="0" applyFont="1" applyFill="1" applyBorder="1" applyAlignment="1">
      <alignment horizontal="center" vertical="center"/>
    </xf>
    <xf numFmtId="0" fontId="147" fillId="63" borderId="57" xfId="0" applyFont="1" applyFill="1" applyBorder="1" applyAlignment="1">
      <alignment horizontal="left" vertical="top"/>
    </xf>
    <xf numFmtId="0" fontId="147" fillId="63" borderId="31" xfId="0" applyFont="1" applyFill="1" applyBorder="1" applyAlignment="1">
      <alignment horizontal="left" vertical="top"/>
    </xf>
    <xf numFmtId="0" fontId="147" fillId="63" borderId="27" xfId="0" applyFont="1" applyFill="1" applyBorder="1" applyAlignment="1">
      <alignment horizontal="left" vertical="top"/>
    </xf>
    <xf numFmtId="0" fontId="44" fillId="0" borderId="23" xfId="0" applyFont="1" applyBorder="1" applyAlignment="1">
      <alignment horizontal="center"/>
    </xf>
    <xf numFmtId="0" fontId="64" fillId="12" borderId="308" xfId="0" applyFont="1" applyFill="1" applyBorder="1" applyAlignment="1">
      <alignment horizontal="center" vertical="center"/>
    </xf>
    <xf numFmtId="0" fontId="0" fillId="0" borderId="308" xfId="0" applyBorder="1" applyAlignment="1">
      <alignment horizontal="center"/>
    </xf>
    <xf numFmtId="0" fontId="14" fillId="7" borderId="308" xfId="0" applyFont="1" applyFill="1" applyBorder="1" applyAlignment="1">
      <alignment horizontal="center" wrapText="1"/>
    </xf>
    <xf numFmtId="164" fontId="0" fillId="7" borderId="22" xfId="0" quotePrefix="1" applyNumberFormat="1" applyFill="1" applyBorder="1" applyAlignment="1">
      <alignment horizontal="center" vertical="center" wrapText="1"/>
    </xf>
    <xf numFmtId="0" fontId="4" fillId="2" borderId="0" xfId="0" applyFont="1" applyFill="1" applyAlignment="1">
      <alignment horizontal="right" vertical="center"/>
    </xf>
    <xf numFmtId="0" fontId="0" fillId="2" borderId="0" xfId="0" applyFill="1" applyAlignment="1">
      <alignment horizontal="right" vertical="center"/>
    </xf>
    <xf numFmtId="0" fontId="0" fillId="0" borderId="7" xfId="0" applyBorder="1" applyAlignment="1">
      <alignment horizontal="right" vertical="center"/>
    </xf>
    <xf numFmtId="0" fontId="0" fillId="0" borderId="0" xfId="0" applyAlignment="1">
      <alignment horizontal="right" vertical="center"/>
    </xf>
    <xf numFmtId="0" fontId="164" fillId="11" borderId="129" xfId="0" applyFont="1" applyFill="1" applyBorder="1" applyAlignment="1">
      <alignment horizontal="center"/>
    </xf>
    <xf numFmtId="0" fontId="35" fillId="7" borderId="0" xfId="0" applyFont="1" applyFill="1"/>
    <xf numFmtId="0" fontId="5" fillId="7" borderId="0" xfId="0" applyFont="1" applyFill="1" applyAlignment="1">
      <alignment horizontal="center" vertical="center" wrapText="1"/>
    </xf>
    <xf numFmtId="0" fontId="0" fillId="0" borderId="9" xfId="0" quotePrefix="1" applyBorder="1"/>
    <xf numFmtId="0" fontId="0" fillId="2" borderId="0" xfId="0" applyFill="1" applyAlignment="1">
      <alignment horizontal="right"/>
    </xf>
    <xf numFmtId="0" fontId="151" fillId="63" borderId="65" xfId="0" applyFont="1" applyFill="1" applyBorder="1" applyAlignment="1">
      <alignment horizontal="left" vertical="center" wrapText="1"/>
    </xf>
    <xf numFmtId="0" fontId="166" fillId="11" borderId="129" xfId="0" applyFont="1" applyFill="1" applyBorder="1" applyAlignment="1">
      <alignment horizontal="center"/>
    </xf>
    <xf numFmtId="0" fontId="5" fillId="7" borderId="141" xfId="0" applyFont="1" applyFill="1" applyBorder="1" applyAlignment="1">
      <alignment horizontal="center" wrapText="1"/>
    </xf>
    <xf numFmtId="0" fontId="0" fillId="7" borderId="141" xfId="0" applyFill="1" applyBorder="1"/>
    <xf numFmtId="0" fontId="151" fillId="63" borderId="305" xfId="0" applyFont="1" applyFill="1" applyBorder="1" applyAlignment="1">
      <alignment horizontal="left" vertical="center" wrapText="1"/>
    </xf>
    <xf numFmtId="168" fontId="5" fillId="0" borderId="332" xfId="0" applyNumberFormat="1" applyFont="1" applyBorder="1"/>
    <xf numFmtId="0" fontId="11" fillId="7" borderId="131" xfId="0" applyFont="1" applyFill="1" applyBorder="1" applyAlignment="1">
      <alignment vertical="top"/>
    </xf>
    <xf numFmtId="0" fontId="5" fillId="7" borderId="131" xfId="0" applyFont="1" applyFill="1" applyBorder="1"/>
    <xf numFmtId="0" fontId="0" fillId="7" borderId="132" xfId="0" applyFill="1" applyBorder="1"/>
    <xf numFmtId="0" fontId="45" fillId="2" borderId="0" xfId="0" applyFont="1" applyFill="1" applyAlignment="1">
      <alignment horizontal="center"/>
    </xf>
    <xf numFmtId="0" fontId="64" fillId="7" borderId="155" xfId="0" applyFont="1" applyFill="1" applyBorder="1" applyAlignment="1">
      <alignment horizontal="center" vertical="center"/>
    </xf>
    <xf numFmtId="0" fontId="28" fillId="12" borderId="28" xfId="0" applyFont="1" applyFill="1" applyBorder="1" applyAlignment="1">
      <alignment horizontal="center" vertical="center" wrapText="1"/>
    </xf>
    <xf numFmtId="0" fontId="151" fillId="63" borderId="105" xfId="0" applyFont="1" applyFill="1" applyBorder="1" applyAlignment="1">
      <alignment horizontal="left" vertical="center" wrapText="1"/>
    </xf>
    <xf numFmtId="168" fontId="5" fillId="0" borderId="153" xfId="0" applyNumberFormat="1" applyFont="1" applyBorder="1"/>
    <xf numFmtId="0" fontId="64" fillId="7" borderId="28" xfId="0" applyFont="1" applyFill="1" applyBorder="1" applyAlignment="1">
      <alignment horizontal="center" vertical="center"/>
    </xf>
    <xf numFmtId="0" fontId="184" fillId="26" borderId="7" xfId="0" applyFont="1" applyFill="1" applyBorder="1"/>
    <xf numFmtId="0" fontId="185" fillId="26" borderId="0" xfId="0" applyFont="1" applyFill="1" applyAlignment="1">
      <alignment horizontal="center"/>
    </xf>
    <xf numFmtId="0" fontId="184" fillId="26" borderId="7" xfId="0" applyFont="1" applyFill="1" applyBorder="1" applyAlignment="1">
      <alignment horizontal="right"/>
    </xf>
    <xf numFmtId="0" fontId="184" fillId="26" borderId="0" xfId="0" applyFont="1" applyFill="1" applyAlignment="1">
      <alignment horizontal="center"/>
    </xf>
    <xf numFmtId="0" fontId="181" fillId="63" borderId="64" xfId="0" applyFont="1" applyFill="1" applyBorder="1" applyAlignment="1">
      <alignment horizontal="left" vertical="center" wrapText="1"/>
    </xf>
    <xf numFmtId="0" fontId="181" fillId="65" borderId="64" xfId="0" applyFont="1" applyFill="1" applyBorder="1" applyAlignment="1">
      <alignment horizontal="left" vertical="center" wrapText="1"/>
    </xf>
    <xf numFmtId="164" fontId="186" fillId="7" borderId="62" xfId="0" applyNumberFormat="1" applyFont="1" applyFill="1" applyBorder="1" applyAlignment="1">
      <alignment horizontal="center" vertical="center" wrapText="1"/>
    </xf>
    <xf numFmtId="0" fontId="181" fillId="63" borderId="62" xfId="0" applyFont="1" applyFill="1" applyBorder="1" applyAlignment="1">
      <alignment horizontal="left" vertical="center" wrapText="1"/>
    </xf>
    <xf numFmtId="0" fontId="5" fillId="7" borderId="0" xfId="0" applyFont="1" applyFill="1" applyAlignment="1">
      <alignment horizontal="left"/>
    </xf>
    <xf numFmtId="0" fontId="165" fillId="12" borderId="22" xfId="0" applyFont="1" applyFill="1" applyBorder="1" applyAlignment="1">
      <alignment vertical="center"/>
    </xf>
    <xf numFmtId="0" fontId="0" fillId="12" borderId="9" xfId="0" applyFill="1" applyBorder="1"/>
    <xf numFmtId="0" fontId="145" fillId="62" borderId="146" xfId="0" applyFont="1" applyFill="1" applyBorder="1" applyAlignment="1">
      <alignment horizontal="center"/>
    </xf>
    <xf numFmtId="0" fontId="4" fillId="7" borderId="0" xfId="0" applyFont="1" applyFill="1"/>
    <xf numFmtId="0" fontId="5" fillId="7" borderId="141" xfId="0" applyFont="1" applyFill="1" applyBorder="1" applyAlignment="1">
      <alignment horizontal="center" vertical="center" wrapText="1"/>
    </xf>
    <xf numFmtId="0" fontId="35" fillId="7" borderId="131" xfId="0" applyFont="1" applyFill="1" applyBorder="1"/>
    <xf numFmtId="0" fontId="35" fillId="12" borderId="332" xfId="0" applyFont="1" applyFill="1" applyBorder="1"/>
    <xf numFmtId="177" fontId="44" fillId="12" borderId="22" xfId="0" applyNumberFormat="1" applyFont="1" applyFill="1" applyBorder="1" applyAlignment="1">
      <alignment horizontal="center" vertical="center" wrapText="1"/>
    </xf>
    <xf numFmtId="177" fontId="44" fillId="12" borderId="36" xfId="0" applyNumberFormat="1" applyFont="1" applyFill="1" applyBorder="1" applyAlignment="1">
      <alignment horizontal="center" vertical="center" wrapText="1"/>
    </xf>
    <xf numFmtId="177" fontId="43" fillId="12" borderId="63" xfId="0" applyNumberFormat="1" applyFont="1" applyFill="1" applyBorder="1" applyAlignment="1">
      <alignment horizontal="center" vertical="center" wrapText="1"/>
    </xf>
    <xf numFmtId="177" fontId="43" fillId="12" borderId="22" xfId="0" applyNumberFormat="1" applyFont="1" applyFill="1" applyBorder="1" applyAlignment="1">
      <alignment horizontal="center" vertical="center" wrapText="1"/>
    </xf>
    <xf numFmtId="0" fontId="5" fillId="12" borderId="9" xfId="0" applyFont="1" applyFill="1" applyBorder="1" applyAlignment="1">
      <alignment vertical="center"/>
    </xf>
    <xf numFmtId="0" fontId="189" fillId="2" borderId="132" xfId="0" applyFont="1" applyFill="1" applyBorder="1" applyAlignment="1">
      <alignment horizontal="center" vertical="center"/>
    </xf>
    <xf numFmtId="0" fontId="45" fillId="2" borderId="129" xfId="0" applyFont="1" applyFill="1" applyBorder="1" applyAlignment="1">
      <alignment horizontal="center" vertical="center" wrapText="1"/>
    </xf>
    <xf numFmtId="0" fontId="27" fillId="2" borderId="22" xfId="0" applyFont="1" applyFill="1" applyBorder="1"/>
    <xf numFmtId="0" fontId="44" fillId="2" borderId="338" xfId="0" applyFont="1" applyFill="1" applyBorder="1"/>
    <xf numFmtId="0" fontId="44" fillId="2" borderId="339" xfId="0" applyFont="1" applyFill="1" applyBorder="1"/>
    <xf numFmtId="0" fontId="5" fillId="12" borderId="0" xfId="0" applyFont="1" applyFill="1" applyAlignment="1">
      <alignment vertical="center"/>
    </xf>
    <xf numFmtId="0" fontId="27" fillId="2" borderId="308" xfId="0" applyFont="1" applyFill="1" applyBorder="1"/>
    <xf numFmtId="0" fontId="27" fillId="35" borderId="0" xfId="0" applyFont="1" applyFill="1" applyAlignment="1">
      <alignment horizontal="left" wrapText="1" indent="1"/>
    </xf>
    <xf numFmtId="177" fontId="27" fillId="66" borderId="22" xfId="0" applyNumberFormat="1" applyFont="1" applyFill="1" applyBorder="1" applyAlignment="1">
      <alignment horizontal="center" vertical="center" wrapText="1"/>
    </xf>
    <xf numFmtId="0" fontId="151" fillId="12" borderId="70" xfId="0" applyFont="1" applyFill="1" applyBorder="1" applyAlignment="1">
      <alignment horizontal="center" vertical="center"/>
    </xf>
    <xf numFmtId="0" fontId="151" fillId="12" borderId="340" xfId="0" applyFont="1" applyFill="1" applyBorder="1" applyAlignment="1">
      <alignment horizontal="center" vertical="center"/>
    </xf>
    <xf numFmtId="0" fontId="151" fillId="12" borderId="58" xfId="0" applyFont="1" applyFill="1" applyBorder="1" applyAlignment="1">
      <alignment horizontal="center" vertical="center"/>
    </xf>
    <xf numFmtId="0" fontId="151" fillId="12" borderId="23" xfId="0" applyFont="1" applyFill="1" applyBorder="1" applyAlignment="1">
      <alignment horizontal="center" vertical="center"/>
    </xf>
    <xf numFmtId="0" fontId="151" fillId="12" borderId="52" xfId="0" applyFont="1" applyFill="1" applyBorder="1" applyAlignment="1">
      <alignment horizontal="center" vertical="center"/>
    </xf>
    <xf numFmtId="0" fontId="5" fillId="12" borderId="58" xfId="0" applyFont="1" applyFill="1" applyBorder="1" applyAlignment="1">
      <alignment horizontal="center" vertical="center"/>
    </xf>
    <xf numFmtId="0" fontId="5" fillId="12" borderId="23" xfId="0" applyFont="1" applyFill="1" applyBorder="1" applyAlignment="1">
      <alignment horizontal="center" vertical="center"/>
    </xf>
    <xf numFmtId="0" fontId="0" fillId="7" borderId="9" xfId="0" applyFill="1" applyBorder="1"/>
    <xf numFmtId="0" fontId="191" fillId="0" borderId="0" xfId="0" applyFont="1"/>
    <xf numFmtId="0" fontId="192" fillId="2" borderId="65" xfId="0" applyFont="1" applyFill="1" applyBorder="1" applyAlignment="1">
      <alignment horizontal="left" vertical="center" wrapText="1"/>
    </xf>
    <xf numFmtId="0" fontId="46" fillId="2" borderId="0" xfId="0" applyFont="1" applyFill="1" applyAlignment="1">
      <alignment horizontal="left" vertical="center"/>
    </xf>
    <xf numFmtId="175" fontId="44" fillId="7" borderId="22" xfId="0" applyNumberFormat="1" applyFont="1" applyFill="1" applyBorder="1" applyAlignment="1">
      <alignment horizontal="center" vertical="center"/>
    </xf>
    <xf numFmtId="175" fontId="44" fillId="7" borderId="36" xfId="0" applyNumberFormat="1" applyFont="1" applyFill="1" applyBorder="1" applyAlignment="1">
      <alignment horizontal="center" vertical="center"/>
    </xf>
    <xf numFmtId="175" fontId="43" fillId="7" borderId="63" xfId="0" applyNumberFormat="1" applyFont="1" applyFill="1" applyBorder="1" applyAlignment="1">
      <alignment horizontal="center" vertical="center"/>
    </xf>
    <xf numFmtId="175" fontId="43" fillId="7" borderId="22" xfId="0" applyNumberFormat="1" applyFont="1" applyFill="1" applyBorder="1" applyAlignment="1">
      <alignment horizontal="center" vertical="center"/>
    </xf>
    <xf numFmtId="0" fontId="43" fillId="2" borderId="22" xfId="0" applyFont="1" applyFill="1" applyBorder="1" applyAlignment="1">
      <alignment horizontal="center"/>
    </xf>
    <xf numFmtId="0" fontId="164" fillId="2" borderId="51" xfId="0" applyFont="1" applyFill="1" applyBorder="1" applyAlignment="1">
      <alignment horizontal="center" vertical="center"/>
    </xf>
    <xf numFmtId="0" fontId="181" fillId="63" borderId="65" xfId="0" applyFont="1" applyFill="1" applyBorder="1" applyAlignment="1">
      <alignment horizontal="center" vertical="center" wrapText="1"/>
    </xf>
    <xf numFmtId="0" fontId="193" fillId="0" borderId="346" xfId="0" applyFont="1" applyBorder="1" applyAlignment="1">
      <alignment horizontal="left"/>
    </xf>
    <xf numFmtId="0" fontId="187" fillId="7" borderId="0" xfId="0" applyFont="1" applyFill="1" applyAlignment="1">
      <alignment horizontal="center" vertical="center" wrapText="1"/>
    </xf>
    <xf numFmtId="0" fontId="187" fillId="2" borderId="0" xfId="0" applyFont="1" applyFill="1" applyAlignment="1">
      <alignment horizontal="center" vertical="center" wrapText="1"/>
    </xf>
    <xf numFmtId="0" fontId="195" fillId="2" borderId="0" xfId="0" applyFont="1" applyFill="1"/>
    <xf numFmtId="0" fontId="195" fillId="7" borderId="0" xfId="0" applyFont="1" applyFill="1" applyAlignment="1">
      <alignment horizontal="right" vertical="center"/>
    </xf>
    <xf numFmtId="0" fontId="195" fillId="7" borderId="0" xfId="0" applyFont="1" applyFill="1"/>
    <xf numFmtId="0" fontId="194" fillId="2" borderId="22" xfId="0" applyFont="1" applyFill="1" applyBorder="1" applyAlignment="1">
      <alignment horizontal="right" vertical="center"/>
    </xf>
    <xf numFmtId="0" fontId="194" fillId="2" borderId="22" xfId="0" applyFont="1" applyFill="1" applyBorder="1"/>
    <xf numFmtId="0" fontId="195" fillId="7" borderId="38" xfId="0" applyFont="1" applyFill="1" applyBorder="1" applyAlignment="1">
      <alignment horizontal="right" vertical="center"/>
    </xf>
    <xf numFmtId="0" fontId="195" fillId="7" borderId="38" xfId="0" applyFont="1" applyFill="1" applyBorder="1"/>
    <xf numFmtId="0" fontId="187" fillId="7" borderId="38" xfId="0" applyFont="1" applyFill="1" applyBorder="1" applyAlignment="1">
      <alignment horizontal="center" vertical="center" wrapText="1"/>
    </xf>
    <xf numFmtId="0" fontId="111" fillId="7" borderId="46" xfId="0" applyFont="1" applyFill="1" applyBorder="1" applyAlignment="1">
      <alignment vertical="center" wrapText="1"/>
    </xf>
    <xf numFmtId="0" fontId="187" fillId="7" borderId="40" xfId="0" applyFont="1" applyFill="1" applyBorder="1" applyAlignment="1">
      <alignment horizontal="center" vertical="center" wrapText="1"/>
    </xf>
    <xf numFmtId="0" fontId="187" fillId="7" borderId="41" xfId="0" applyFont="1" applyFill="1" applyBorder="1" applyAlignment="1">
      <alignment horizontal="center" vertical="center" wrapText="1"/>
    </xf>
    <xf numFmtId="0" fontId="43" fillId="2" borderId="28" xfId="0" applyFont="1" applyFill="1" applyBorder="1"/>
    <xf numFmtId="0" fontId="43" fillId="2" borderId="24" xfId="0" applyFont="1" applyFill="1" applyBorder="1" applyAlignment="1">
      <alignment horizontal="center"/>
    </xf>
    <xf numFmtId="0" fontId="43" fillId="2" borderId="62" xfId="0" applyFont="1" applyFill="1" applyBorder="1" applyAlignment="1">
      <alignment horizontal="center"/>
    </xf>
    <xf numFmtId="0" fontId="43" fillId="2" borderId="63" xfId="0" applyFont="1" applyFill="1" applyBorder="1" applyAlignment="1">
      <alignment horizontal="center"/>
    </xf>
    <xf numFmtId="0" fontId="43" fillId="12" borderId="28" xfId="0" applyFont="1" applyFill="1" applyBorder="1"/>
    <xf numFmtId="0" fontId="43" fillId="12" borderId="22" xfId="0" applyFont="1" applyFill="1" applyBorder="1"/>
    <xf numFmtId="0" fontId="44" fillId="2" borderId="49" xfId="0" applyFont="1" applyFill="1" applyBorder="1"/>
    <xf numFmtId="0" fontId="44" fillId="2" borderId="36" xfId="0" applyFont="1" applyFill="1" applyBorder="1"/>
    <xf numFmtId="0" fontId="44" fillId="2" borderId="52" xfId="0" applyFont="1" applyFill="1" applyBorder="1"/>
    <xf numFmtId="0" fontId="164" fillId="2" borderId="349" xfId="0" applyFont="1" applyFill="1" applyBorder="1" applyAlignment="1">
      <alignment horizontal="center" vertical="center"/>
    </xf>
    <xf numFmtId="0" fontId="43" fillId="2" borderId="39" xfId="0" applyFont="1" applyFill="1" applyBorder="1" applyAlignment="1">
      <alignment vertical="center"/>
    </xf>
    <xf numFmtId="0" fontId="43" fillId="2" borderId="41" xfId="0" applyFont="1" applyFill="1" applyBorder="1" applyAlignment="1">
      <alignment vertical="center"/>
    </xf>
    <xf numFmtId="0" fontId="5" fillId="2" borderId="38" xfId="0" applyFont="1" applyFill="1" applyBorder="1" applyAlignment="1">
      <alignment vertical="center" wrapText="1"/>
    </xf>
    <xf numFmtId="0" fontId="5" fillId="2" borderId="37" xfId="0" applyFont="1" applyFill="1" applyBorder="1" applyAlignment="1">
      <alignment vertical="center" wrapText="1"/>
    </xf>
    <xf numFmtId="0" fontId="5" fillId="2" borderId="39" xfId="0" applyFont="1" applyFill="1" applyBorder="1" applyAlignment="1">
      <alignment vertical="center" wrapText="1"/>
    </xf>
    <xf numFmtId="0" fontId="5" fillId="2" borderId="41" xfId="0" applyFont="1" applyFill="1" applyBorder="1" applyAlignment="1">
      <alignment vertical="center" wrapText="1"/>
    </xf>
    <xf numFmtId="0" fontId="43" fillId="12" borderId="46" xfId="0" applyFont="1" applyFill="1" applyBorder="1"/>
    <xf numFmtId="0" fontId="44" fillId="2" borderId="46" xfId="0" applyFont="1" applyFill="1" applyBorder="1"/>
    <xf numFmtId="0" fontId="44" fillId="2" borderId="355" xfId="0" applyFont="1" applyFill="1" applyBorder="1"/>
    <xf numFmtId="0" fontId="197" fillId="12" borderId="22" xfId="0" applyFont="1" applyFill="1" applyBorder="1" applyAlignment="1">
      <alignment horizontal="center"/>
    </xf>
    <xf numFmtId="0" fontId="186" fillId="12" borderId="23" xfId="0" applyFont="1" applyFill="1" applyBorder="1" applyAlignment="1">
      <alignment horizontal="center"/>
    </xf>
    <xf numFmtId="0" fontId="39" fillId="12" borderId="22" xfId="0" applyFont="1" applyFill="1" applyBorder="1" applyAlignment="1">
      <alignment horizontal="center" vertical="center"/>
    </xf>
    <xf numFmtId="0" fontId="39" fillId="12" borderId="155" xfId="0" applyFont="1" applyFill="1" applyBorder="1" applyAlignment="1">
      <alignment horizontal="center" vertical="center"/>
    </xf>
    <xf numFmtId="0" fontId="43" fillId="2" borderId="165" xfId="0" applyFont="1" applyFill="1" applyBorder="1" applyAlignment="1">
      <alignment horizontal="center"/>
    </xf>
    <xf numFmtId="0" fontId="43" fillId="2" borderId="354" xfId="0" applyFont="1" applyFill="1" applyBorder="1" applyAlignment="1">
      <alignment horizontal="center"/>
    </xf>
    <xf numFmtId="0" fontId="43" fillId="2" borderId="40" xfId="0" applyFont="1" applyFill="1" applyBorder="1" applyAlignment="1">
      <alignment horizontal="center"/>
    </xf>
    <xf numFmtId="0" fontId="43" fillId="2" borderId="164" xfId="0" applyFont="1" applyFill="1" applyBorder="1" applyAlignment="1">
      <alignment horizontal="center"/>
    </xf>
    <xf numFmtId="0" fontId="43" fillId="12" borderId="165" xfId="0" applyFont="1" applyFill="1" applyBorder="1"/>
    <xf numFmtId="0" fontId="44" fillId="2" borderId="165" xfId="0" applyFont="1" applyFill="1" applyBorder="1"/>
    <xf numFmtId="0" fontId="44" fillId="2" borderId="166" xfId="0" applyFont="1" applyFill="1" applyBorder="1"/>
    <xf numFmtId="0" fontId="0" fillId="67" borderId="0" xfId="0" applyFill="1"/>
    <xf numFmtId="0" fontId="43" fillId="2" borderId="42" xfId="0" applyFont="1" applyFill="1" applyBorder="1"/>
    <xf numFmtId="0" fontId="43" fillId="2" borderId="43" xfId="0" applyFont="1" applyFill="1" applyBorder="1" applyAlignment="1">
      <alignment vertical="center" wrapText="1"/>
    </xf>
    <xf numFmtId="0" fontId="43" fillId="2" borderId="44" xfId="0" applyFont="1" applyFill="1" applyBorder="1" applyAlignment="1">
      <alignment vertical="center" wrapText="1"/>
    </xf>
    <xf numFmtId="0" fontId="0" fillId="0" borderId="0" xfId="0" applyAlignment="1">
      <alignment vertical="center"/>
    </xf>
    <xf numFmtId="0" fontId="4" fillId="66" borderId="0" xfId="0" applyFont="1" applyFill="1"/>
    <xf numFmtId="0" fontId="39" fillId="0" borderId="0" xfId="0" applyFont="1"/>
    <xf numFmtId="0" fontId="199" fillId="2" borderId="352" xfId="0" applyFont="1" applyFill="1" applyBorder="1" applyAlignment="1">
      <alignment horizontal="right"/>
    </xf>
    <xf numFmtId="0" fontId="199" fillId="2" borderId="22" xfId="0" applyFont="1" applyFill="1" applyBorder="1" applyAlignment="1">
      <alignment horizontal="right"/>
    </xf>
    <xf numFmtId="0" fontId="199" fillId="2" borderId="46" xfId="0" applyFont="1" applyFill="1" applyBorder="1" applyAlignment="1">
      <alignment horizontal="right"/>
    </xf>
    <xf numFmtId="0" fontId="199" fillId="2" borderId="28" xfId="0" applyFont="1" applyFill="1" applyBorder="1" applyAlignment="1">
      <alignment horizontal="right"/>
    </xf>
    <xf numFmtId="0" fontId="39" fillId="2" borderId="339" xfId="0" applyFont="1" applyFill="1" applyBorder="1" applyAlignment="1">
      <alignment horizontal="center" vertical="center"/>
    </xf>
    <xf numFmtId="0" fontId="200" fillId="7" borderId="39" xfId="0" applyFont="1" applyFill="1" applyBorder="1" applyAlignment="1">
      <alignment horizontal="center" vertical="center"/>
    </xf>
    <xf numFmtId="0" fontId="200" fillId="7" borderId="41" xfId="0" applyFont="1" applyFill="1" applyBorder="1" applyAlignment="1">
      <alignment horizontal="center" vertical="center"/>
    </xf>
    <xf numFmtId="0" fontId="183" fillId="2" borderId="65" xfId="0" applyFont="1" applyFill="1" applyBorder="1" applyAlignment="1">
      <alignment horizontal="right"/>
    </xf>
    <xf numFmtId="0" fontId="183" fillId="2" borderId="62" xfId="0" applyFont="1" applyFill="1" applyBorder="1" applyAlignment="1">
      <alignment horizontal="right"/>
    </xf>
    <xf numFmtId="0" fontId="183" fillId="2" borderId="63" xfId="0" applyFont="1" applyFill="1" applyBorder="1" applyAlignment="1">
      <alignment horizontal="right"/>
    </xf>
    <xf numFmtId="0" fontId="187" fillId="5" borderId="9" xfId="0" applyFont="1" applyFill="1" applyBorder="1" applyAlignment="1">
      <alignment horizontal="center" vertical="center"/>
    </xf>
    <xf numFmtId="0" fontId="195" fillId="5" borderId="9" xfId="0" applyFont="1" applyFill="1" applyBorder="1" applyAlignment="1">
      <alignment horizontal="center" vertical="center"/>
    </xf>
    <xf numFmtId="0" fontId="187" fillId="5" borderId="152" xfId="0" applyFont="1" applyFill="1" applyBorder="1" applyAlignment="1">
      <alignment horizontal="center" vertical="center"/>
    </xf>
    <xf numFmtId="0" fontId="181" fillId="63" borderId="57" xfId="0" applyFont="1" applyFill="1" applyBorder="1" applyAlignment="1">
      <alignment horizontal="center" vertical="center" wrapText="1"/>
    </xf>
    <xf numFmtId="0" fontId="192" fillId="24" borderId="57" xfId="0" applyFont="1" applyFill="1" applyBorder="1" applyAlignment="1">
      <alignment horizontal="left" vertical="center" wrapText="1"/>
    </xf>
    <xf numFmtId="0" fontId="204" fillId="63" borderId="65" xfId="0" applyFont="1" applyFill="1" applyBorder="1" applyAlignment="1">
      <alignment horizontal="center" vertical="center" wrapText="1"/>
    </xf>
    <xf numFmtId="0" fontId="4" fillId="2" borderId="38" xfId="0" applyFont="1" applyFill="1" applyBorder="1"/>
    <xf numFmtId="0" fontId="181" fillId="63" borderId="292" xfId="0" applyFont="1" applyFill="1" applyBorder="1" applyAlignment="1">
      <alignment horizontal="center" vertical="center" wrapText="1"/>
    </xf>
    <xf numFmtId="0" fontId="4" fillId="2" borderId="41" xfId="0" applyFont="1" applyFill="1" applyBorder="1"/>
    <xf numFmtId="0" fontId="187" fillId="2" borderId="37" xfId="0" applyFont="1" applyFill="1" applyBorder="1" applyAlignment="1">
      <alignment horizontal="center" vertical="center" wrapText="1"/>
    </xf>
    <xf numFmtId="0" fontId="187" fillId="2" borderId="39" xfId="0" applyFont="1" applyFill="1" applyBorder="1" applyAlignment="1">
      <alignment horizontal="center" vertical="center" wrapText="1"/>
    </xf>
    <xf numFmtId="0" fontId="187" fillId="2" borderId="40" xfId="0" applyFont="1" applyFill="1" applyBorder="1" applyAlignment="1">
      <alignment horizontal="center"/>
    </xf>
    <xf numFmtId="0" fontId="11" fillId="2" borderId="0" xfId="0" applyFont="1" applyFill="1" applyAlignment="1">
      <alignment vertical="top"/>
    </xf>
    <xf numFmtId="0" fontId="0" fillId="2" borderId="40" xfId="0" applyFill="1" applyBorder="1"/>
    <xf numFmtId="0" fontId="11" fillId="2" borderId="40" xfId="0" applyFont="1" applyFill="1" applyBorder="1" applyAlignment="1">
      <alignment vertical="top"/>
    </xf>
    <xf numFmtId="0" fontId="5" fillId="2" borderId="40" xfId="0" applyFont="1" applyFill="1" applyBorder="1"/>
    <xf numFmtId="0" fontId="187" fillId="5" borderId="360" xfId="0" applyFont="1" applyFill="1" applyBorder="1" applyAlignment="1">
      <alignment horizontal="center" vertical="center"/>
    </xf>
    <xf numFmtId="0" fontId="187" fillId="5" borderId="361" xfId="0" applyFont="1" applyFill="1" applyBorder="1" applyAlignment="1">
      <alignment horizontal="center" vertical="center"/>
    </xf>
    <xf numFmtId="0" fontId="5" fillId="7" borderId="22" xfId="0" applyFont="1" applyFill="1" applyBorder="1" applyAlignment="1">
      <alignment vertical="center"/>
    </xf>
    <xf numFmtId="0" fontId="207" fillId="7" borderId="22" xfId="0" applyFont="1" applyFill="1" applyBorder="1" applyAlignment="1">
      <alignment vertical="center"/>
    </xf>
    <xf numFmtId="0" fontId="4" fillId="2" borderId="362" xfId="0" applyFont="1" applyFill="1" applyBorder="1"/>
    <xf numFmtId="0" fontId="4" fillId="2" borderId="363" xfId="0" applyFont="1" applyFill="1" applyBorder="1"/>
    <xf numFmtId="0" fontId="4" fillId="2" borderId="365" xfId="0" applyFont="1" applyFill="1" applyBorder="1"/>
    <xf numFmtId="0" fontId="5" fillId="2" borderId="360" xfId="0" applyFont="1" applyFill="1" applyBorder="1" applyAlignment="1">
      <alignment vertical="center"/>
    </xf>
    <xf numFmtId="0" fontId="5" fillId="2" borderId="366" xfId="0" applyFont="1" applyFill="1" applyBorder="1" applyAlignment="1">
      <alignment vertical="center"/>
    </xf>
    <xf numFmtId="0" fontId="5" fillId="2" borderId="368" xfId="0" applyFont="1" applyFill="1" applyBorder="1" applyAlignment="1">
      <alignment vertical="center"/>
    </xf>
    <xf numFmtId="0" fontId="187" fillId="5" borderId="187" xfId="0" applyFont="1" applyFill="1" applyBorder="1" applyAlignment="1">
      <alignment horizontal="center" vertical="center"/>
    </xf>
    <xf numFmtId="0" fontId="187" fillId="5" borderId="183" xfId="0" applyFont="1" applyFill="1" applyBorder="1" applyAlignment="1">
      <alignment horizontal="center" vertical="center"/>
    </xf>
    <xf numFmtId="0" fontId="187" fillId="5" borderId="350" xfId="0" applyFont="1" applyFill="1" applyBorder="1" applyAlignment="1">
      <alignment horizontal="center" vertical="center"/>
    </xf>
    <xf numFmtId="168" fontId="5" fillId="2" borderId="37" xfId="0" applyNumberFormat="1" applyFont="1" applyFill="1" applyBorder="1"/>
    <xf numFmtId="0" fontId="0" fillId="2" borderId="38" xfId="0" applyFill="1" applyBorder="1"/>
    <xf numFmtId="0" fontId="5" fillId="2" borderId="39" xfId="0" applyFont="1" applyFill="1" applyBorder="1" applyAlignment="1">
      <alignment horizontal="right" vertical="center" wrapText="1"/>
    </xf>
    <xf numFmtId="0" fontId="0" fillId="2" borderId="41" xfId="0" applyFill="1" applyBorder="1"/>
    <xf numFmtId="0" fontId="11" fillId="2" borderId="37" xfId="0" applyFont="1" applyFill="1" applyBorder="1" applyAlignment="1">
      <alignment vertical="top"/>
    </xf>
    <xf numFmtId="0" fontId="5" fillId="2" borderId="38" xfId="0" applyFont="1" applyFill="1" applyBorder="1"/>
    <xf numFmtId="0" fontId="11" fillId="2" borderId="39" xfId="0" applyFont="1" applyFill="1" applyBorder="1" applyAlignment="1">
      <alignment vertical="top"/>
    </xf>
    <xf numFmtId="0" fontId="5" fillId="2" borderId="41" xfId="0" applyFont="1" applyFill="1" applyBorder="1"/>
    <xf numFmtId="0" fontId="197" fillId="0" borderId="0" xfId="0" applyFont="1"/>
    <xf numFmtId="0" fontId="186" fillId="0" borderId="0" xfId="0" applyFont="1" applyAlignment="1">
      <alignment horizontal="left" vertical="top"/>
    </xf>
    <xf numFmtId="0" fontId="0" fillId="14" borderId="372" xfId="0" applyFill="1" applyBorder="1"/>
    <xf numFmtId="0" fontId="0" fillId="14" borderId="373" xfId="0" applyFill="1" applyBorder="1"/>
    <xf numFmtId="0" fontId="110" fillId="14" borderId="372" xfId="0" applyFont="1" applyFill="1" applyBorder="1"/>
    <xf numFmtId="0" fontId="0" fillId="35" borderId="373" xfId="0" applyFill="1" applyBorder="1"/>
    <xf numFmtId="0" fontId="107" fillId="35" borderId="373" xfId="0" quotePrefix="1" applyFont="1" applyFill="1" applyBorder="1"/>
    <xf numFmtId="0" fontId="65" fillId="14" borderId="374" xfId="0" applyFont="1" applyFill="1" applyBorder="1"/>
    <xf numFmtId="0" fontId="0" fillId="14" borderId="375" xfId="0" applyFill="1" applyBorder="1"/>
    <xf numFmtId="0" fontId="0" fillId="14" borderId="376" xfId="0" applyFill="1" applyBorder="1"/>
    <xf numFmtId="0" fontId="0" fillId="0" borderId="21" xfId="0" applyBorder="1" applyAlignment="1">
      <alignment horizontal="left"/>
    </xf>
    <xf numFmtId="0" fontId="0" fillId="31" borderId="21" xfId="0" applyFill="1" applyBorder="1" applyAlignment="1">
      <alignment horizontal="left"/>
    </xf>
    <xf numFmtId="0" fontId="0" fillId="68" borderId="21" xfId="0" applyFill="1" applyBorder="1"/>
    <xf numFmtId="0" fontId="0" fillId="69" borderId="21" xfId="0" applyFill="1" applyBorder="1"/>
    <xf numFmtId="0" fontId="0" fillId="37" borderId="21" xfId="0" applyFill="1" applyBorder="1"/>
    <xf numFmtId="0" fontId="0" fillId="70" borderId="21" xfId="0" applyFill="1" applyBorder="1"/>
    <xf numFmtId="0" fontId="0" fillId="71" borderId="21" xfId="0" applyFill="1" applyBorder="1"/>
    <xf numFmtId="0" fontId="23" fillId="72" borderId="21" xfId="0" applyFont="1" applyFill="1" applyBorder="1"/>
    <xf numFmtId="0" fontId="0" fillId="70" borderId="272" xfId="0" applyFill="1" applyBorder="1"/>
    <xf numFmtId="0" fontId="0" fillId="71" borderId="272" xfId="0" applyFill="1" applyBorder="1"/>
    <xf numFmtId="0" fontId="23" fillId="72" borderId="272" xfId="0" applyFont="1" applyFill="1" applyBorder="1"/>
    <xf numFmtId="0" fontId="0" fillId="37" borderId="272" xfId="0" applyFill="1" applyBorder="1"/>
    <xf numFmtId="0" fontId="0" fillId="69" borderId="272" xfId="0" applyFill="1" applyBorder="1"/>
    <xf numFmtId="0" fontId="0" fillId="68" borderId="272" xfId="0" applyFill="1" applyBorder="1"/>
    <xf numFmtId="0" fontId="0" fillId="31" borderId="272" xfId="0" applyFill="1" applyBorder="1" applyAlignment="1">
      <alignment horizontal="left"/>
    </xf>
    <xf numFmtId="0" fontId="0" fillId="0" borderId="272" xfId="0" applyBorder="1" applyAlignment="1">
      <alignment horizontal="left"/>
    </xf>
    <xf numFmtId="0" fontId="14" fillId="70" borderId="223" xfId="0" applyFont="1" applyFill="1" applyBorder="1" applyAlignment="1">
      <alignment horizontal="center" vertical="center"/>
    </xf>
    <xf numFmtId="0" fontId="14" fillId="71" borderId="223" xfId="0" applyFont="1" applyFill="1" applyBorder="1" applyAlignment="1">
      <alignment horizontal="center" vertical="center"/>
    </xf>
    <xf numFmtId="0" fontId="64" fillId="72" borderId="223" xfId="0" applyFont="1" applyFill="1" applyBorder="1" applyAlignment="1">
      <alignment horizontal="center" vertical="center"/>
    </xf>
    <xf numFmtId="0" fontId="14" fillId="37" borderId="223" xfId="0" applyFont="1" applyFill="1" applyBorder="1" applyAlignment="1">
      <alignment horizontal="center" vertical="center"/>
    </xf>
    <xf numFmtId="0" fontId="14" fillId="69" borderId="223" xfId="0" applyFont="1" applyFill="1" applyBorder="1" applyAlignment="1">
      <alignment horizontal="center" vertical="center"/>
    </xf>
    <xf numFmtId="0" fontId="14" fillId="68" borderId="223" xfId="0" applyFont="1" applyFill="1" applyBorder="1" applyAlignment="1">
      <alignment horizontal="center" vertical="center"/>
    </xf>
    <xf numFmtId="0" fontId="14" fillId="31" borderId="223" xfId="0" applyFont="1" applyFill="1" applyBorder="1" applyAlignment="1">
      <alignment horizontal="center"/>
    </xf>
    <xf numFmtId="0" fontId="14" fillId="0" borderId="223" xfId="0" applyFont="1" applyBorder="1" applyAlignment="1">
      <alignment horizontal="center"/>
    </xf>
    <xf numFmtId="0" fontId="14" fillId="0" borderId="226" xfId="0" applyFont="1" applyBorder="1" applyAlignment="1">
      <alignment horizontal="center"/>
    </xf>
    <xf numFmtId="0" fontId="0" fillId="0" borderId="91" xfId="0" applyBorder="1" applyAlignment="1">
      <alignment horizontal="left"/>
    </xf>
    <xf numFmtId="0" fontId="0" fillId="0" borderId="96" xfId="0" applyBorder="1" applyAlignment="1">
      <alignment horizontal="left"/>
    </xf>
    <xf numFmtId="0" fontId="0" fillId="70" borderId="223" xfId="0" applyFill="1" applyBorder="1"/>
    <xf numFmtId="0" fontId="0" fillId="71" borderId="223" xfId="0" applyFill="1" applyBorder="1"/>
    <xf numFmtId="0" fontId="23" fillId="72" borderId="223" xfId="0" applyFont="1" applyFill="1" applyBorder="1"/>
    <xf numFmtId="0" fontId="0" fillId="37" borderId="223" xfId="0" applyFill="1" applyBorder="1"/>
    <xf numFmtId="0" fontId="0" fillId="69" borderId="223" xfId="0" applyFill="1" applyBorder="1"/>
    <xf numFmtId="0" fontId="0" fillId="68" borderId="223" xfId="0" applyFill="1" applyBorder="1"/>
    <xf numFmtId="0" fontId="0" fillId="31" borderId="223" xfId="0" applyFill="1" applyBorder="1" applyAlignment="1">
      <alignment horizontal="left"/>
    </xf>
    <xf numFmtId="0" fontId="0" fillId="0" borderId="223" xfId="0" applyBorder="1" applyAlignment="1">
      <alignment horizontal="left"/>
    </xf>
    <xf numFmtId="0" fontId="0" fillId="0" borderId="226" xfId="0" applyBorder="1" applyAlignment="1">
      <alignment horizontal="left"/>
    </xf>
    <xf numFmtId="0" fontId="0" fillId="70" borderId="74" xfId="0" applyFill="1" applyBorder="1"/>
    <xf numFmtId="0" fontId="0" fillId="71" borderId="74" xfId="0" applyFill="1" applyBorder="1"/>
    <xf numFmtId="0" fontId="23" fillId="72" borderId="74" xfId="0" applyFont="1" applyFill="1" applyBorder="1"/>
    <xf numFmtId="0" fontId="0" fillId="37" borderId="74" xfId="0" applyFill="1" applyBorder="1"/>
    <xf numFmtId="0" fontId="0" fillId="69" borderId="74" xfId="0" applyFill="1" applyBorder="1"/>
    <xf numFmtId="0" fontId="0" fillId="68" borderId="74" xfId="0" applyFill="1" applyBorder="1"/>
    <xf numFmtId="0" fontId="0" fillId="31" borderId="74" xfId="0" applyFill="1" applyBorder="1" applyAlignment="1">
      <alignment horizontal="left"/>
    </xf>
    <xf numFmtId="0" fontId="0" fillId="0" borderId="74" xfId="0" applyBorder="1" applyAlignment="1">
      <alignment horizontal="left"/>
    </xf>
    <xf numFmtId="0" fontId="0" fillId="0" borderId="90" xfId="0" applyBorder="1" applyAlignment="1">
      <alignment horizontal="left"/>
    </xf>
    <xf numFmtId="0" fontId="14" fillId="0" borderId="4" xfId="0" applyFont="1" applyBorder="1" applyAlignment="1">
      <alignment horizontal="center" vertical="center"/>
    </xf>
    <xf numFmtId="0" fontId="61" fillId="0" borderId="0" xfId="0" applyFont="1"/>
    <xf numFmtId="0" fontId="17" fillId="0" borderId="225" xfId="0" applyFont="1" applyBorder="1" applyAlignment="1">
      <alignment horizontal="center" vertical="center"/>
    </xf>
    <xf numFmtId="0" fontId="5" fillId="0" borderId="389" xfId="0" applyFont="1" applyBorder="1" applyAlignment="1">
      <alignment horizontal="center" vertical="center" wrapText="1"/>
    </xf>
    <xf numFmtId="0" fontId="5" fillId="0" borderId="245" xfId="0" applyFont="1" applyBorder="1" applyAlignment="1">
      <alignment horizontal="center" vertical="center" wrapText="1"/>
    </xf>
    <xf numFmtId="0" fontId="5" fillId="0" borderId="274" xfId="0" applyFont="1" applyBorder="1" applyAlignment="1">
      <alignment horizontal="center" vertical="center" wrapText="1"/>
    </xf>
    <xf numFmtId="0" fontId="29" fillId="0" borderId="76" xfId="0" applyFont="1" applyBorder="1" applyAlignment="1">
      <alignment horizontal="center" vertical="center" wrapText="1"/>
    </xf>
    <xf numFmtId="0" fontId="5" fillId="0" borderId="225" xfId="0" applyFont="1" applyBorder="1" applyAlignment="1">
      <alignment horizontal="center" vertical="center" wrapText="1"/>
    </xf>
    <xf numFmtId="0" fontId="0" fillId="0" borderId="0" xfId="0" applyAlignment="1">
      <alignment horizontal="left" vertical="center" indent="5"/>
    </xf>
    <xf numFmtId="0" fontId="14" fillId="0" borderId="0" xfId="0" applyFont="1" applyAlignment="1">
      <alignment vertical="center"/>
    </xf>
    <xf numFmtId="0" fontId="212" fillId="0" borderId="0" xfId="0" applyFont="1" applyAlignment="1">
      <alignment horizontal="left" vertical="center" indent="10"/>
    </xf>
    <xf numFmtId="0" fontId="216" fillId="0" borderId="0" xfId="0" applyFont="1" applyAlignment="1">
      <alignment horizontal="left" vertical="center" indent="10"/>
    </xf>
    <xf numFmtId="0" fontId="0" fillId="32" borderId="0" xfId="0" quotePrefix="1" applyFill="1"/>
    <xf numFmtId="0" fontId="0" fillId="32" borderId="373" xfId="0" quotePrefix="1" applyFill="1" applyBorder="1"/>
    <xf numFmtId="0" fontId="65" fillId="14" borderId="372" xfId="0" applyFont="1" applyFill="1" applyBorder="1"/>
    <xf numFmtId="0" fontId="44" fillId="0" borderId="0" xfId="0" applyFont="1" applyAlignment="1">
      <alignment horizontal="left" vertical="top" wrapText="1"/>
    </xf>
    <xf numFmtId="0" fontId="0" fillId="0" borderId="0" xfId="0" applyAlignment="1">
      <alignment vertical="center" wrapText="1"/>
    </xf>
    <xf numFmtId="0" fontId="230" fillId="2" borderId="0" xfId="0" applyFont="1" applyFill="1"/>
    <xf numFmtId="0" fontId="0" fillId="2" borderId="0" xfId="0" applyFill="1" applyProtection="1">
      <protection locked="0"/>
    </xf>
    <xf numFmtId="0" fontId="168" fillId="2" borderId="144" xfId="0" applyFont="1" applyFill="1" applyBorder="1" applyAlignment="1" applyProtection="1">
      <alignment horizontal="left" vertical="center"/>
      <protection locked="0"/>
    </xf>
    <xf numFmtId="0" fontId="169" fillId="2" borderId="145" xfId="0" applyFont="1" applyFill="1" applyBorder="1" applyProtection="1">
      <protection locked="0"/>
    </xf>
    <xf numFmtId="0" fontId="170" fillId="2" borderId="145" xfId="0" applyFont="1" applyFill="1" applyBorder="1" applyAlignment="1" applyProtection="1">
      <alignment horizontal="left" vertical="center"/>
      <protection locked="0"/>
    </xf>
    <xf numFmtId="0" fontId="171" fillId="2" borderId="145" xfId="0" applyFont="1" applyFill="1" applyBorder="1" applyProtection="1">
      <protection locked="0"/>
    </xf>
    <xf numFmtId="0" fontId="171" fillId="2" borderId="124" xfId="0" applyFont="1" applyFill="1" applyBorder="1" applyProtection="1">
      <protection locked="0"/>
    </xf>
    <xf numFmtId="0" fontId="172" fillId="2" borderId="124" xfId="0" applyFont="1" applyFill="1" applyBorder="1" applyProtection="1">
      <protection locked="0"/>
    </xf>
    <xf numFmtId="0" fontId="172" fillId="2" borderId="125" xfId="0" applyFont="1" applyFill="1" applyBorder="1" applyProtection="1">
      <protection locked="0"/>
    </xf>
    <xf numFmtId="0" fontId="4" fillId="2" borderId="0" xfId="0" applyFont="1" applyFill="1" applyProtection="1">
      <protection locked="0"/>
    </xf>
    <xf numFmtId="0" fontId="0" fillId="0" borderId="0" xfId="0" applyProtection="1">
      <protection locked="0"/>
    </xf>
    <xf numFmtId="0" fontId="173" fillId="2" borderId="32" xfId="0" applyFont="1" applyFill="1" applyBorder="1" applyProtection="1">
      <protection locked="0"/>
    </xf>
    <xf numFmtId="0" fontId="43" fillId="2" borderId="33" xfId="0" applyFont="1" applyFill="1" applyBorder="1" applyProtection="1">
      <protection locked="0"/>
    </xf>
    <xf numFmtId="0" fontId="44" fillId="2" borderId="33" xfId="0" applyFont="1" applyFill="1" applyBorder="1" applyProtection="1">
      <protection locked="0"/>
    </xf>
    <xf numFmtId="0" fontId="44" fillId="2" borderId="147" xfId="0" applyFont="1" applyFill="1" applyBorder="1" applyProtection="1">
      <protection locked="0"/>
    </xf>
    <xf numFmtId="0" fontId="43" fillId="2" borderId="37" xfId="0" applyFont="1" applyFill="1" applyBorder="1" applyProtection="1">
      <protection locked="0"/>
    </xf>
    <xf numFmtId="0" fontId="43" fillId="2" borderId="68" xfId="0" applyFont="1" applyFill="1" applyBorder="1" applyProtection="1">
      <protection locked="0"/>
    </xf>
    <xf numFmtId="0" fontId="0" fillId="0" borderId="7" xfId="0" applyBorder="1" applyProtection="1">
      <protection locked="0"/>
    </xf>
    <xf numFmtId="0" fontId="80" fillId="26" borderId="0" xfId="0" applyFont="1" applyFill="1" applyAlignment="1" applyProtection="1">
      <alignment vertical="center"/>
      <protection locked="0"/>
    </xf>
    <xf numFmtId="0" fontId="0" fillId="26" borderId="0" xfId="0" applyFill="1" applyProtection="1">
      <protection locked="0"/>
    </xf>
    <xf numFmtId="0" fontId="0" fillId="26" borderId="7" xfId="0" applyFill="1" applyBorder="1" applyProtection="1">
      <protection locked="0"/>
    </xf>
    <xf numFmtId="0" fontId="43" fillId="2" borderId="149" xfId="0" applyFont="1" applyFill="1" applyBorder="1" applyProtection="1">
      <protection locked="0"/>
    </xf>
    <xf numFmtId="0" fontId="43" fillId="2" borderId="150" xfId="0" applyFont="1" applyFill="1" applyBorder="1" applyProtection="1">
      <protection locked="0"/>
    </xf>
    <xf numFmtId="0" fontId="45" fillId="2" borderId="0" xfId="0" applyFont="1" applyFill="1" applyAlignment="1" applyProtection="1">
      <alignment horizontal="center"/>
      <protection locked="0"/>
    </xf>
    <xf numFmtId="0" fontId="81" fillId="26" borderId="0" xfId="0" applyFont="1" applyFill="1" applyAlignment="1" applyProtection="1">
      <alignment vertical="center"/>
      <protection locked="0"/>
    </xf>
    <xf numFmtId="0" fontId="184" fillId="26" borderId="7" xfId="0" applyFont="1" applyFill="1" applyBorder="1" applyProtection="1">
      <protection locked="0"/>
    </xf>
    <xf numFmtId="0" fontId="184" fillId="26" borderId="7" xfId="0" applyFont="1" applyFill="1" applyBorder="1" applyAlignment="1" applyProtection="1">
      <alignment horizontal="right"/>
      <protection locked="0"/>
    </xf>
    <xf numFmtId="0" fontId="185" fillId="26" borderId="0" xfId="0" applyFont="1" applyFill="1" applyAlignment="1" applyProtection="1">
      <alignment horizontal="center"/>
      <protection locked="0"/>
    </xf>
    <xf numFmtId="0" fontId="46" fillId="2" borderId="0" xfId="0" applyFont="1" applyFill="1" applyAlignment="1" applyProtection="1">
      <alignment horizontal="center"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43" fillId="2" borderId="0" xfId="0" applyFont="1" applyFill="1" applyProtection="1">
      <protection locked="0"/>
    </xf>
    <xf numFmtId="0" fontId="60" fillId="2" borderId="0" xfId="0" applyFont="1" applyFill="1" applyAlignment="1" applyProtection="1">
      <alignment horizontal="center" vertical="center"/>
      <protection locked="0"/>
    </xf>
    <xf numFmtId="0" fontId="46" fillId="2" borderId="0" xfId="0" applyFont="1" applyFill="1" applyAlignment="1" applyProtection="1">
      <alignment horizontal="left" vertical="center"/>
      <protection locked="0"/>
    </xf>
    <xf numFmtId="0" fontId="184" fillId="26" borderId="0" xfId="0" applyFont="1" applyFill="1" applyAlignment="1" applyProtection="1">
      <alignment horizontal="center"/>
      <protection locked="0"/>
    </xf>
    <xf numFmtId="0" fontId="197" fillId="12" borderId="22" xfId="0" applyFont="1" applyFill="1" applyBorder="1" applyAlignment="1" applyProtection="1">
      <alignment horizontal="center"/>
      <protection locked="0"/>
    </xf>
    <xf numFmtId="0" fontId="4" fillId="0" borderId="0" xfId="0" applyFont="1" applyProtection="1">
      <protection locked="0"/>
    </xf>
    <xf numFmtId="0" fontId="186" fillId="12" borderId="23" xfId="0" applyFont="1" applyFill="1" applyBorder="1" applyAlignment="1" applyProtection="1">
      <alignment horizontal="center"/>
      <protection locked="0"/>
    </xf>
    <xf numFmtId="0" fontId="199" fillId="2" borderId="59" xfId="0" applyFont="1" applyFill="1" applyBorder="1" applyAlignment="1" applyProtection="1">
      <alignment horizontal="right"/>
      <protection locked="0"/>
    </xf>
    <xf numFmtId="0" fontId="211" fillId="2" borderId="353" xfId="0" applyFont="1" applyFill="1" applyBorder="1" applyProtection="1">
      <protection locked="0"/>
    </xf>
    <xf numFmtId="0" fontId="183" fillId="2" borderId="33" xfId="0" applyFont="1" applyFill="1" applyBorder="1" applyProtection="1">
      <protection locked="0"/>
    </xf>
    <xf numFmtId="0" fontId="199" fillId="2" borderId="34" xfId="0" applyFont="1" applyFill="1" applyBorder="1" applyProtection="1">
      <protection locked="0"/>
    </xf>
    <xf numFmtId="0" fontId="199" fillId="2" borderId="24" xfId="0" applyFont="1" applyFill="1" applyBorder="1" applyAlignment="1" applyProtection="1">
      <alignment horizontal="right"/>
      <protection locked="0"/>
    </xf>
    <xf numFmtId="0" fontId="183" fillId="2" borderId="25" xfId="0" applyFont="1" applyFill="1" applyBorder="1" applyProtection="1">
      <protection locked="0"/>
    </xf>
    <xf numFmtId="0" fontId="183" fillId="2" borderId="0" xfId="0" applyFont="1" applyFill="1" applyProtection="1">
      <protection locked="0"/>
    </xf>
    <xf numFmtId="0" fontId="199" fillId="2" borderId="38" xfId="0" applyFont="1" applyFill="1" applyBorder="1" applyProtection="1">
      <protection locked="0"/>
    </xf>
    <xf numFmtId="0" fontId="199" fillId="2" borderId="295" xfId="0" applyFont="1" applyFill="1" applyBorder="1" applyAlignment="1" applyProtection="1">
      <alignment horizontal="right"/>
      <protection locked="0"/>
    </xf>
    <xf numFmtId="0" fontId="183" fillId="2" borderId="40" xfId="0" applyFont="1" applyFill="1" applyBorder="1" applyProtection="1">
      <protection locked="0"/>
    </xf>
    <xf numFmtId="0" fontId="199" fillId="2" borderId="41" xfId="0" applyFont="1" applyFill="1" applyBorder="1" applyProtection="1">
      <protection locked="0"/>
    </xf>
    <xf numFmtId="0" fontId="183" fillId="2" borderId="353" xfId="0" applyFont="1" applyFill="1" applyBorder="1" applyProtection="1">
      <protection locked="0"/>
    </xf>
    <xf numFmtId="0" fontId="183" fillId="2" borderId="354" xfId="0" applyFont="1" applyFill="1" applyBorder="1" applyProtection="1">
      <protection locked="0"/>
    </xf>
    <xf numFmtId="0" fontId="199" fillId="2" borderId="26" xfId="0" applyFont="1" applyFill="1" applyBorder="1" applyAlignment="1" applyProtection="1">
      <alignment horizontal="right"/>
      <protection locked="0"/>
    </xf>
    <xf numFmtId="0" fontId="211" fillId="2" borderId="25" xfId="0" applyFont="1" applyFill="1" applyBorder="1" applyProtection="1">
      <protection locked="0"/>
    </xf>
    <xf numFmtId="0" fontId="164" fillId="64" borderId="351" xfId="0" applyFont="1" applyFill="1" applyBorder="1" applyAlignment="1" applyProtection="1">
      <alignment horizontal="center" vertical="center"/>
      <protection locked="0"/>
    </xf>
    <xf numFmtId="0" fontId="164" fillId="64" borderId="167" xfId="0" applyFont="1" applyFill="1" applyBorder="1" applyAlignment="1" applyProtection="1">
      <alignment horizontal="center" vertical="center"/>
      <protection locked="0"/>
    </xf>
    <xf numFmtId="0" fontId="164" fillId="64" borderId="168" xfId="0" applyFont="1" applyFill="1" applyBorder="1" applyAlignment="1" applyProtection="1">
      <alignment horizontal="center" vertical="center"/>
      <protection locked="0"/>
    </xf>
    <xf numFmtId="0" fontId="43" fillId="2" borderId="39" xfId="0" applyFont="1" applyFill="1" applyBorder="1" applyAlignment="1" applyProtection="1">
      <alignment vertical="center"/>
      <protection locked="0"/>
    </xf>
    <xf numFmtId="0" fontId="43" fillId="2" borderId="41" xfId="0" applyFont="1" applyFill="1" applyBorder="1" applyAlignment="1" applyProtection="1">
      <alignment vertical="center"/>
      <protection locked="0"/>
    </xf>
    <xf numFmtId="0" fontId="4" fillId="2" borderId="0" xfId="0" applyFont="1" applyFill="1" applyAlignment="1" applyProtection="1">
      <alignment wrapText="1"/>
      <protection locked="0"/>
    </xf>
    <xf numFmtId="0" fontId="200" fillId="7" borderId="39" xfId="0" applyFont="1" applyFill="1" applyBorder="1" applyAlignment="1" applyProtection="1">
      <alignment horizontal="center" vertical="center"/>
      <protection locked="0"/>
    </xf>
    <xf numFmtId="0" fontId="200" fillId="7" borderId="41" xfId="0" applyFont="1" applyFill="1" applyBorder="1" applyAlignment="1" applyProtection="1">
      <alignment horizontal="center" vertical="center" wrapText="1"/>
      <protection locked="0"/>
    </xf>
    <xf numFmtId="0" fontId="43" fillId="2" borderId="42" xfId="0" applyFont="1" applyFill="1" applyBorder="1" applyProtection="1">
      <protection locked="0"/>
    </xf>
    <xf numFmtId="0" fontId="43" fillId="2" borderId="43"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protection locked="0"/>
    </xf>
    <xf numFmtId="0" fontId="5" fillId="2" borderId="37" xfId="0" applyFont="1" applyFill="1" applyBorder="1" applyProtection="1">
      <protection locked="0"/>
    </xf>
    <xf numFmtId="0" fontId="5" fillId="2" borderId="38" xfId="0" applyFont="1" applyFill="1" applyBorder="1" applyAlignment="1" applyProtection="1">
      <alignment vertical="center" wrapText="1"/>
      <protection locked="0"/>
    </xf>
    <xf numFmtId="0" fontId="5" fillId="0" borderId="22" xfId="0" applyFont="1" applyBorder="1" applyAlignment="1" applyProtection="1">
      <alignment horizontal="center" vertical="center" wrapText="1"/>
      <protection locked="0"/>
    </xf>
    <xf numFmtId="0" fontId="5" fillId="2" borderId="37" xfId="0" applyFont="1" applyFill="1" applyBorder="1" applyAlignment="1" applyProtection="1">
      <alignment vertical="center" wrapText="1"/>
      <protection locked="0"/>
    </xf>
    <xf numFmtId="0" fontId="0" fillId="2" borderId="0" xfId="0" applyFill="1" applyAlignment="1" applyProtection="1">
      <alignment horizontal="center"/>
      <protection locked="0"/>
    </xf>
    <xf numFmtId="0" fontId="5" fillId="2" borderId="39" xfId="0" applyFont="1" applyFill="1" applyBorder="1" applyAlignment="1" applyProtection="1">
      <alignment vertical="center" wrapText="1"/>
      <protection locked="0"/>
    </xf>
    <xf numFmtId="0" fontId="5" fillId="2" borderId="41" xfId="0" applyFont="1" applyFill="1" applyBorder="1" applyAlignment="1" applyProtection="1">
      <alignment vertical="center" wrapText="1"/>
      <protection locked="0"/>
    </xf>
    <xf numFmtId="0" fontId="5" fillId="2" borderId="0" xfId="0" applyFont="1" applyFill="1" applyProtection="1">
      <protection locked="0"/>
    </xf>
    <xf numFmtId="0" fontId="46" fillId="2" borderId="0" xfId="0" applyFont="1" applyFill="1" applyAlignment="1" applyProtection="1">
      <alignment vertical="center" wrapText="1"/>
      <protection locked="0"/>
    </xf>
    <xf numFmtId="0" fontId="45" fillId="2" borderId="0" xfId="0" applyFont="1" applyFill="1" applyAlignment="1" applyProtection="1">
      <alignment horizontal="left" vertical="center"/>
      <protection locked="0"/>
    </xf>
    <xf numFmtId="0" fontId="45" fillId="2" borderId="75" xfId="0" applyFont="1" applyFill="1" applyBorder="1" applyAlignment="1" applyProtection="1">
      <alignment horizontal="center"/>
      <protection locked="0"/>
    </xf>
    <xf numFmtId="0" fontId="39" fillId="12" borderId="2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wrapText="1"/>
      <protection locked="0"/>
    </xf>
    <xf numFmtId="0" fontId="5" fillId="2" borderId="0" xfId="0" applyFont="1" applyFill="1" applyAlignment="1" applyProtection="1">
      <alignment vertical="center" wrapText="1"/>
      <protection locked="0"/>
    </xf>
    <xf numFmtId="1" fontId="151" fillId="66" borderId="22" xfId="0" applyNumberFormat="1" applyFont="1" applyFill="1" applyBorder="1" applyAlignment="1" applyProtection="1">
      <alignment vertical="center" wrapText="1"/>
      <protection locked="0"/>
    </xf>
    <xf numFmtId="0" fontId="151" fillId="0" borderId="22" xfId="0" applyFont="1" applyBorder="1" applyAlignment="1" applyProtection="1">
      <alignment horizontal="center" vertical="center"/>
      <protection locked="0"/>
    </xf>
    <xf numFmtId="0" fontId="151" fillId="0" borderId="22" xfId="0" applyFont="1" applyBorder="1" applyAlignment="1" applyProtection="1">
      <alignment horizontal="center" vertical="center" wrapText="1"/>
      <protection locked="0"/>
    </xf>
    <xf numFmtId="0" fontId="165" fillId="14" borderId="22" xfId="0" applyFont="1" applyFill="1" applyBorder="1" applyAlignment="1" applyProtection="1">
      <alignment horizontal="center"/>
      <protection locked="0"/>
    </xf>
    <xf numFmtId="0" fontId="183" fillId="63" borderId="22" xfId="0" applyFont="1" applyFill="1" applyBorder="1" applyAlignment="1" applyProtection="1">
      <alignment horizontal="left" vertical="center" wrapText="1"/>
      <protection locked="0"/>
    </xf>
    <xf numFmtId="167" fontId="221" fillId="7" borderId="22" xfId="0" applyNumberFormat="1" applyFont="1" applyFill="1" applyBorder="1" applyAlignment="1" applyProtection="1">
      <alignment horizontal="center" vertical="center" wrapText="1"/>
      <protection locked="0"/>
    </xf>
    <xf numFmtId="167" fontId="186" fillId="0" borderId="22" xfId="0" applyNumberFormat="1" applyFont="1" applyBorder="1" applyAlignment="1" applyProtection="1">
      <alignment horizontal="center" vertical="center" wrapText="1"/>
      <protection locked="0"/>
    </xf>
    <xf numFmtId="164" fontId="221" fillId="7" borderId="22" xfId="0" applyNumberFormat="1" applyFont="1" applyFill="1" applyBorder="1" applyAlignment="1" applyProtection="1">
      <alignment horizontal="center" vertical="center" wrapText="1"/>
      <protection locked="0"/>
    </xf>
    <xf numFmtId="164" fontId="186" fillId="7" borderId="22" xfId="0" applyNumberFormat="1" applyFont="1" applyFill="1" applyBorder="1" applyAlignment="1" applyProtection="1">
      <alignment horizontal="center" vertical="center"/>
      <protection locked="0"/>
    </xf>
    <xf numFmtId="0" fontId="183" fillId="65" borderId="22" xfId="0" applyFont="1" applyFill="1" applyBorder="1" applyAlignment="1" applyProtection="1">
      <alignment horizontal="left" vertical="center" wrapText="1"/>
      <protection locked="0"/>
    </xf>
    <xf numFmtId="164" fontId="186" fillId="0" borderId="22" xfId="0" applyNumberFormat="1" applyFont="1" applyBorder="1" applyAlignment="1" applyProtection="1">
      <alignment horizontal="center" vertical="center" wrapText="1"/>
      <protection locked="0"/>
    </xf>
    <xf numFmtId="177" fontId="221" fillId="7" borderId="22" xfId="0" applyNumberFormat="1" applyFont="1" applyFill="1" applyBorder="1" applyAlignment="1" applyProtection="1">
      <alignment horizontal="center" vertical="center" wrapText="1"/>
      <protection locked="0"/>
    </xf>
    <xf numFmtId="177" fontId="186" fillId="0" borderId="22" xfId="0" applyNumberFormat="1" applyFont="1" applyBorder="1" applyAlignment="1" applyProtection="1">
      <alignment horizontal="center" vertical="center" wrapText="1"/>
      <protection locked="0"/>
    </xf>
    <xf numFmtId="177" fontId="221" fillId="7" borderId="408" xfId="0" applyNumberFormat="1" applyFont="1" applyFill="1" applyBorder="1" applyAlignment="1" applyProtection="1">
      <alignment horizontal="center" vertical="center" wrapText="1"/>
      <protection locked="0"/>
    </xf>
    <xf numFmtId="0" fontId="183" fillId="65" borderId="408" xfId="0" applyFont="1" applyFill="1" applyBorder="1" applyAlignment="1" applyProtection="1">
      <alignment horizontal="left" vertical="center" wrapText="1"/>
      <protection locked="0"/>
    </xf>
    <xf numFmtId="177" fontId="186" fillId="0" borderId="408" xfId="0" applyNumberFormat="1" applyFont="1" applyBorder="1" applyAlignment="1" applyProtection="1">
      <alignment horizontal="center" vertical="center" wrapText="1"/>
      <protection locked="0"/>
    </xf>
    <xf numFmtId="0" fontId="181" fillId="62" borderId="28" xfId="0" applyFont="1" applyFill="1" applyBorder="1" applyAlignment="1" applyProtection="1">
      <alignment vertical="center" wrapText="1"/>
      <protection locked="0"/>
    </xf>
    <xf numFmtId="0" fontId="181" fillId="62" borderId="22" xfId="0" applyFont="1" applyFill="1" applyBorder="1" applyAlignment="1" applyProtection="1">
      <alignment vertical="center" wrapText="1"/>
      <protection locked="0"/>
    </xf>
    <xf numFmtId="0" fontId="187" fillId="12" borderId="22" xfId="0" applyFont="1" applyFill="1" applyBorder="1" applyAlignment="1" applyProtection="1">
      <alignment horizontal="center" vertical="center"/>
      <protection locked="0"/>
    </xf>
    <xf numFmtId="0" fontId="223" fillId="62" borderId="413" xfId="0" applyFont="1" applyFill="1" applyBorder="1" applyAlignment="1" applyProtection="1">
      <alignment vertical="center" wrapText="1"/>
      <protection locked="0"/>
    </xf>
    <xf numFmtId="0" fontId="223" fillId="62" borderId="414" xfId="0" applyFont="1" applyFill="1" applyBorder="1" applyAlignment="1" applyProtection="1">
      <alignment vertical="center" wrapText="1"/>
      <protection locked="0"/>
    </xf>
    <xf numFmtId="0" fontId="223" fillId="62" borderId="415" xfId="0" applyFont="1" applyFill="1" applyBorder="1" applyAlignment="1" applyProtection="1">
      <alignment vertical="center" wrapText="1"/>
      <protection locked="0"/>
    </xf>
    <xf numFmtId="0" fontId="225" fillId="63" borderId="22" xfId="0" applyFont="1" applyFill="1" applyBorder="1" applyAlignment="1" applyProtection="1">
      <alignment horizontal="left" vertical="center" wrapText="1"/>
      <protection locked="0"/>
    </xf>
    <xf numFmtId="0" fontId="0" fillId="2" borderId="0" xfId="0" applyFill="1" applyAlignment="1" applyProtection="1">
      <alignment horizontal="center" vertical="center" wrapText="1"/>
      <protection locked="0"/>
    </xf>
    <xf numFmtId="0" fontId="35" fillId="2" borderId="0" xfId="0" applyFont="1" applyFill="1" applyProtection="1">
      <protection locked="0"/>
    </xf>
    <xf numFmtId="0" fontId="11" fillId="2" borderId="0" xfId="0" applyFont="1" applyFill="1" applyAlignment="1" applyProtection="1">
      <alignment horizontal="center" vertical="center" wrapText="1"/>
      <protection locked="0"/>
    </xf>
    <xf numFmtId="0" fontId="145" fillId="62" borderId="146" xfId="0" applyFont="1" applyFill="1" applyBorder="1" applyAlignment="1" applyProtection="1">
      <alignment horizontal="center"/>
      <protection locked="0"/>
    </xf>
    <xf numFmtId="0" fontId="145" fillId="62" borderId="33" xfId="0" applyFont="1" applyFill="1" applyBorder="1" applyAlignment="1" applyProtection="1">
      <alignment horizontal="center"/>
      <protection locked="0"/>
    </xf>
    <xf numFmtId="0" fontId="0" fillId="7" borderId="0" xfId="0" applyFill="1" applyProtection="1">
      <protection locked="0"/>
    </xf>
    <xf numFmtId="0" fontId="35" fillId="7" borderId="0" xfId="0" applyFont="1" applyFill="1" applyProtection="1">
      <protection locked="0"/>
    </xf>
    <xf numFmtId="0" fontId="0" fillId="7" borderId="141" xfId="0" applyFill="1" applyBorder="1" applyProtection="1">
      <protection locked="0"/>
    </xf>
    <xf numFmtId="0" fontId="164" fillId="11" borderId="129" xfId="0" applyFont="1" applyFill="1" applyBorder="1" applyAlignment="1" applyProtection="1">
      <alignment horizontal="center"/>
      <protection locked="0"/>
    </xf>
    <xf numFmtId="0" fontId="35" fillId="0" borderId="308" xfId="0" applyFont="1" applyBorder="1" applyProtection="1">
      <protection locked="0"/>
    </xf>
    <xf numFmtId="0" fontId="4" fillId="7" borderId="0" xfId="0" applyFont="1" applyFill="1" applyProtection="1">
      <protection locked="0"/>
    </xf>
    <xf numFmtId="0" fontId="0" fillId="0" borderId="308" xfId="0" applyBorder="1" applyProtection="1">
      <protection locked="0"/>
    </xf>
    <xf numFmtId="0" fontId="0" fillId="2" borderId="308" xfId="0" applyFill="1" applyBorder="1" applyProtection="1">
      <protection locked="0"/>
    </xf>
    <xf numFmtId="0" fontId="0" fillId="0" borderId="308" xfId="0" quotePrefix="1" applyBorder="1" applyProtection="1">
      <protection locked="0"/>
    </xf>
    <xf numFmtId="0" fontId="5" fillId="7" borderId="0" xfId="0" applyFont="1" applyFill="1" applyAlignment="1" applyProtection="1">
      <alignment horizontal="center" vertical="center" wrapText="1"/>
      <protection locked="0"/>
    </xf>
    <xf numFmtId="0" fontId="5" fillId="7" borderId="141" xfId="0" applyFont="1" applyFill="1" applyBorder="1" applyAlignment="1" applyProtection="1">
      <alignment horizontal="center" vertical="center" wrapText="1"/>
      <protection locked="0"/>
    </xf>
    <xf numFmtId="0" fontId="3" fillId="0" borderId="308" xfId="0" applyFont="1" applyBorder="1" applyProtection="1">
      <protection locked="0"/>
    </xf>
    <xf numFmtId="0" fontId="35" fillId="7" borderId="416" xfId="0" applyFont="1" applyFill="1" applyBorder="1" applyProtection="1">
      <protection locked="0"/>
    </xf>
    <xf numFmtId="0" fontId="0" fillId="7" borderId="416" xfId="0" applyFill="1" applyBorder="1" applyProtection="1">
      <protection locked="0"/>
    </xf>
    <xf numFmtId="0" fontId="35" fillId="2" borderId="308" xfId="0" applyFont="1" applyFill="1" applyBorder="1" applyProtection="1">
      <protection locked="0"/>
    </xf>
    <xf numFmtId="0" fontId="183" fillId="63" borderId="412" xfId="0" applyFont="1" applyFill="1" applyBorder="1" applyAlignment="1" applyProtection="1">
      <alignment horizontal="right" vertical="center" wrapText="1"/>
      <protection locked="0"/>
    </xf>
    <xf numFmtId="0" fontId="183" fillId="63" borderId="30" xfId="0" applyFont="1" applyFill="1" applyBorder="1" applyAlignment="1" applyProtection="1">
      <alignment horizontal="right" vertical="center" wrapText="1"/>
      <protection locked="0"/>
    </xf>
    <xf numFmtId="0" fontId="35" fillId="7" borderId="131" xfId="0" applyFont="1" applyFill="1" applyBorder="1" applyProtection="1">
      <protection locked="0"/>
    </xf>
    <xf numFmtId="0" fontId="0" fillId="7" borderId="132" xfId="0" applyFill="1" applyBorder="1" applyProtection="1">
      <protection locked="0"/>
    </xf>
    <xf numFmtId="0" fontId="16" fillId="2" borderId="0" xfId="0" applyFont="1" applyFill="1" applyAlignment="1" applyProtection="1">
      <alignment horizontal="center" vertical="center" wrapText="1"/>
      <protection locked="0"/>
    </xf>
    <xf numFmtId="164" fontId="5" fillId="2" borderId="0" xfId="0" applyNumberFormat="1" applyFont="1" applyFill="1" applyAlignment="1" applyProtection="1">
      <alignment horizontal="justify" vertical="center" wrapText="1"/>
      <protection locked="0"/>
    </xf>
    <xf numFmtId="0" fontId="37" fillId="2" borderId="0" xfId="0" applyFont="1" applyFill="1" applyProtection="1">
      <protection locked="0"/>
    </xf>
    <xf numFmtId="0" fontId="5" fillId="7" borderId="22" xfId="0" applyFont="1" applyFill="1" applyBorder="1" applyAlignment="1" applyProtection="1">
      <alignment vertical="center"/>
      <protection locked="0"/>
    </xf>
    <xf numFmtId="0" fontId="207" fillId="7" borderId="22" xfId="0" applyFont="1" applyFill="1" applyBorder="1" applyAlignment="1" applyProtection="1">
      <alignment vertical="center"/>
      <protection locked="0"/>
    </xf>
    <xf numFmtId="0" fontId="166" fillId="11" borderId="129" xfId="0" applyFont="1" applyFill="1" applyBorder="1" applyAlignment="1" applyProtection="1">
      <alignment horizontal="center"/>
      <protection locked="0"/>
    </xf>
    <xf numFmtId="0" fontId="5" fillId="7" borderId="0" xfId="0" applyFont="1" applyFill="1" applyAlignment="1" applyProtection="1">
      <alignment horizontal="center" wrapText="1"/>
      <protection locked="0"/>
    </xf>
    <xf numFmtId="0" fontId="5" fillId="7" borderId="141" xfId="0" applyFont="1" applyFill="1" applyBorder="1" applyAlignment="1" applyProtection="1">
      <alignment horizontal="center" wrapText="1"/>
      <protection locked="0"/>
    </xf>
    <xf numFmtId="0" fontId="181" fillId="63" borderId="65" xfId="0" applyFont="1" applyFill="1" applyBorder="1" applyAlignment="1" applyProtection="1">
      <alignment horizontal="left" vertical="center" wrapText="1"/>
      <protection locked="0"/>
    </xf>
    <xf numFmtId="0" fontId="5" fillId="0" borderId="9" xfId="0" applyFont="1" applyBorder="1" applyProtection="1">
      <protection locked="0"/>
    </xf>
    <xf numFmtId="168" fontId="5" fillId="0" borderId="9" xfId="0" applyNumberFormat="1" applyFont="1" applyBorder="1" applyProtection="1">
      <protection locked="0"/>
    </xf>
    <xf numFmtId="0" fontId="5" fillId="5" borderId="9" xfId="0" applyFont="1" applyFill="1" applyBorder="1" applyAlignment="1" applyProtection="1">
      <alignment vertical="center"/>
      <protection locked="0"/>
    </xf>
    <xf numFmtId="0" fontId="5" fillId="0" borderId="9" xfId="0" applyFont="1" applyBorder="1" applyAlignment="1" applyProtection="1">
      <alignment horizontal="center" wrapText="1"/>
      <protection locked="0"/>
    </xf>
    <xf numFmtId="49" fontId="0" fillId="0" borderId="9" xfId="0" applyNumberFormat="1" applyBorder="1" applyProtection="1">
      <protection locked="0"/>
    </xf>
    <xf numFmtId="188" fontId="5" fillId="0" borderId="9" xfId="0" applyNumberFormat="1" applyFont="1" applyBorder="1" applyProtection="1">
      <protection locked="0"/>
    </xf>
    <xf numFmtId="0" fontId="19" fillId="7" borderId="0" xfId="0" applyFont="1" applyFill="1" applyAlignment="1" applyProtection="1">
      <alignment horizontal="center" wrapText="1"/>
      <protection locked="0"/>
    </xf>
    <xf numFmtId="0" fontId="20" fillId="7" borderId="0" xfId="0" applyFont="1" applyFill="1" applyProtection="1">
      <protection locked="0"/>
    </xf>
    <xf numFmtId="0" fontId="11" fillId="7" borderId="0" xfId="0" applyFont="1" applyFill="1" applyAlignment="1" applyProtection="1">
      <alignment vertical="top"/>
      <protection locked="0"/>
    </xf>
    <xf numFmtId="0" fontId="5" fillId="7" borderId="0" xfId="0" applyFont="1" applyFill="1" applyProtection="1">
      <protection locked="0"/>
    </xf>
    <xf numFmtId="0" fontId="5" fillId="7" borderId="0" xfId="0" applyFont="1" applyFill="1" applyAlignment="1" applyProtection="1">
      <alignment horizontal="left"/>
      <protection locked="0"/>
    </xf>
    <xf numFmtId="0" fontId="181" fillId="63" borderId="105" xfId="0" applyFont="1" applyFill="1" applyBorder="1" applyAlignment="1" applyProtection="1">
      <alignment horizontal="left" vertical="center" wrapText="1"/>
      <protection locked="0"/>
    </xf>
    <xf numFmtId="0" fontId="181" fillId="63" borderId="305" xfId="0" applyFont="1" applyFill="1" applyBorder="1" applyAlignment="1" applyProtection="1">
      <alignment horizontal="left" vertical="center" wrapText="1"/>
      <protection locked="0"/>
    </xf>
    <xf numFmtId="0" fontId="11" fillId="7" borderId="131" xfId="0" applyFont="1" applyFill="1" applyBorder="1" applyAlignment="1" applyProtection="1">
      <alignment vertical="top"/>
      <protection locked="0"/>
    </xf>
    <xf numFmtId="0" fontId="5" fillId="7" borderId="131" xfId="0" applyFont="1" applyFill="1" applyBorder="1" applyProtection="1">
      <protection locked="0"/>
    </xf>
    <xf numFmtId="0" fontId="4" fillId="2" borderId="38" xfId="0" applyFont="1" applyFill="1" applyBorder="1" applyProtection="1">
      <protection locked="0"/>
    </xf>
    <xf numFmtId="0" fontId="40" fillId="2" borderId="0" xfId="0" applyFont="1" applyFill="1" applyAlignment="1" applyProtection="1">
      <alignment vertical="center" wrapText="1"/>
      <protection locked="0"/>
    </xf>
    <xf numFmtId="0" fontId="227" fillId="2" borderId="386" xfId="0" applyFont="1" applyFill="1" applyBorder="1" applyAlignment="1" applyProtection="1">
      <alignment horizontal="center" vertical="center"/>
      <protection locked="0"/>
    </xf>
    <xf numFmtId="0" fontId="181" fillId="63" borderId="65" xfId="0" applyFont="1" applyFill="1" applyBorder="1" applyAlignment="1" applyProtection="1">
      <alignment horizontal="center" vertical="center" wrapText="1"/>
      <protection locked="0"/>
    </xf>
    <xf numFmtId="0" fontId="227" fillId="2" borderId="388" xfId="0" applyFont="1" applyFill="1" applyBorder="1" applyAlignment="1" applyProtection="1">
      <alignment horizontal="center" vertical="center"/>
      <protection locked="0"/>
    </xf>
    <xf numFmtId="0" fontId="179" fillId="63" borderId="65" xfId="0" applyFont="1" applyFill="1" applyBorder="1" applyAlignment="1" applyProtection="1">
      <alignment horizontal="center" vertical="center" wrapText="1"/>
      <protection locked="0"/>
    </xf>
    <xf numFmtId="0" fontId="187" fillId="2" borderId="37" xfId="0" applyFont="1" applyFill="1" applyBorder="1" applyAlignment="1" applyProtection="1">
      <alignment horizontal="center" vertical="center" wrapText="1"/>
      <protection locked="0"/>
    </xf>
    <xf numFmtId="0" fontId="181" fillId="63" borderId="292" xfId="0" applyFont="1" applyFill="1" applyBorder="1" applyAlignment="1" applyProtection="1">
      <alignment horizontal="center" vertical="center" wrapText="1"/>
      <protection locked="0"/>
    </xf>
    <xf numFmtId="0" fontId="5" fillId="2" borderId="40" xfId="0" applyFont="1" applyFill="1" applyBorder="1" applyProtection="1">
      <protection locked="0"/>
    </xf>
    <xf numFmtId="0" fontId="0" fillId="2" borderId="40" xfId="0" applyFill="1" applyBorder="1" applyProtection="1">
      <protection locked="0"/>
    </xf>
    <xf numFmtId="0" fontId="4" fillId="2" borderId="40" xfId="0" applyFont="1" applyFill="1" applyBorder="1" applyProtection="1">
      <protection locked="0"/>
    </xf>
    <xf numFmtId="0" fontId="4" fillId="2" borderId="41" xfId="0" applyFont="1" applyFill="1" applyBorder="1" applyProtection="1">
      <protection locked="0"/>
    </xf>
    <xf numFmtId="0" fontId="5" fillId="0" borderId="0" xfId="0" applyFont="1" applyAlignment="1" applyProtection="1">
      <alignment horizontal="right" vertical="center" wrapText="1"/>
      <protection locked="0"/>
    </xf>
    <xf numFmtId="0" fontId="0" fillId="0" borderId="0" xfId="0" applyAlignment="1" applyProtection="1">
      <alignment horizontal="right" vertical="center"/>
      <protection locked="0"/>
    </xf>
    <xf numFmtId="0" fontId="0" fillId="2" borderId="0" xfId="0" applyFill="1" applyAlignment="1" applyProtection="1">
      <alignment horizontal="right"/>
      <protection locked="0"/>
    </xf>
    <xf numFmtId="0" fontId="4" fillId="2" borderId="0" xfId="0" applyFont="1" applyFill="1" applyAlignment="1" applyProtection="1">
      <alignment horizontal="right" vertical="center"/>
      <protection locked="0"/>
    </xf>
    <xf numFmtId="0" fontId="194" fillId="2" borderId="22" xfId="0" applyFont="1" applyFill="1" applyBorder="1" applyAlignment="1" applyProtection="1">
      <alignment horizontal="right" vertical="center"/>
      <protection locked="0"/>
    </xf>
    <xf numFmtId="0" fontId="195" fillId="7" borderId="0" xfId="0" applyFont="1" applyFill="1" applyAlignment="1" applyProtection="1">
      <alignment horizontal="right" vertical="center"/>
      <protection locked="0"/>
    </xf>
    <xf numFmtId="0" fontId="195" fillId="7" borderId="38" xfId="0" applyFont="1" applyFill="1" applyBorder="1" applyAlignment="1" applyProtection="1">
      <alignment horizontal="right" vertical="center"/>
      <protection locked="0"/>
    </xf>
    <xf numFmtId="0" fontId="195" fillId="7" borderId="0" xfId="0" applyFont="1" applyFill="1" applyProtection="1">
      <protection locked="0"/>
    </xf>
    <xf numFmtId="0" fontId="195" fillId="7" borderId="38" xfId="0" applyFont="1" applyFill="1" applyBorder="1" applyProtection="1">
      <protection locked="0"/>
    </xf>
    <xf numFmtId="0" fontId="194" fillId="2" borderId="22" xfId="0" applyFont="1" applyFill="1" applyBorder="1" applyProtection="1">
      <protection locked="0"/>
    </xf>
    <xf numFmtId="0" fontId="187" fillId="7" borderId="0" xfId="0" applyFont="1" applyFill="1" applyAlignment="1" applyProtection="1">
      <alignment horizontal="center" vertical="center" wrapText="1"/>
      <protection locked="0"/>
    </xf>
    <xf numFmtId="0" fontId="187" fillId="7" borderId="38" xfId="0" applyFont="1" applyFill="1" applyBorder="1" applyAlignment="1" applyProtection="1">
      <alignment horizontal="center" vertical="center" wrapText="1"/>
      <protection locked="0"/>
    </xf>
    <xf numFmtId="0" fontId="111" fillId="7" borderId="46" xfId="0" applyFont="1" applyFill="1" applyBorder="1" applyAlignment="1" applyProtection="1">
      <alignment vertical="center" wrapText="1"/>
      <protection locked="0"/>
    </xf>
    <xf numFmtId="0" fontId="187" fillId="7" borderId="40" xfId="0" applyFont="1" applyFill="1" applyBorder="1" applyAlignment="1" applyProtection="1">
      <alignment horizontal="center" vertical="center" wrapText="1"/>
      <protection locked="0"/>
    </xf>
    <xf numFmtId="0" fontId="187" fillId="7" borderId="41" xfId="0" applyFont="1" applyFill="1" applyBorder="1" applyAlignment="1" applyProtection="1">
      <alignment horizontal="center" vertical="center" wrapText="1"/>
      <protection locked="0"/>
    </xf>
    <xf numFmtId="0" fontId="193" fillId="0" borderId="346" xfId="0" applyFont="1" applyBorder="1" applyAlignment="1" applyProtection="1">
      <alignment horizontal="left"/>
      <protection locked="0"/>
    </xf>
    <xf numFmtId="0" fontId="187" fillId="2" borderId="0" xfId="0" applyFont="1" applyFill="1" applyAlignment="1" applyProtection="1">
      <alignment horizontal="center" vertical="center" wrapText="1"/>
      <protection locked="0"/>
    </xf>
    <xf numFmtId="0" fontId="195" fillId="2" borderId="0" xfId="0" applyFont="1" applyFill="1" applyProtection="1">
      <protection locked="0"/>
    </xf>
    <xf numFmtId="0" fontId="145" fillId="62" borderId="32" xfId="0" applyFont="1" applyFill="1" applyBorder="1" applyAlignment="1" applyProtection="1">
      <alignment horizontal="left"/>
      <protection locked="0"/>
    </xf>
    <xf numFmtId="0" fontId="146" fillId="11" borderId="167" xfId="0" applyFont="1" applyFill="1" applyBorder="1" applyAlignment="1" applyProtection="1">
      <alignment horizontal="center" vertical="center"/>
      <protection locked="0"/>
    </xf>
    <xf numFmtId="0" fontId="0" fillId="0" borderId="28" xfId="0" applyBorder="1" applyAlignment="1" applyProtection="1">
      <alignment horizontal="center"/>
      <protection locked="0"/>
    </xf>
    <xf numFmtId="0" fontId="0" fillId="0" borderId="26" xfId="0" applyBorder="1" applyAlignment="1" applyProtection="1">
      <alignment horizontal="center"/>
      <protection locked="0"/>
    </xf>
    <xf numFmtId="0" fontId="0" fillId="7" borderId="26" xfId="0" applyFill="1" applyBorder="1" applyAlignment="1" applyProtection="1">
      <alignment horizontal="center" vertical="center" wrapText="1"/>
      <protection locked="0"/>
    </xf>
    <xf numFmtId="0" fontId="0" fillId="7" borderId="31" xfId="0" applyFill="1" applyBorder="1" applyAlignment="1" applyProtection="1">
      <alignment horizontal="center" vertical="center" wrapText="1"/>
      <protection locked="0"/>
    </xf>
    <xf numFmtId="0" fontId="0" fillId="7" borderId="48" xfId="0" applyFill="1" applyBorder="1" applyAlignment="1" applyProtection="1">
      <alignment horizontal="center" vertical="center" wrapText="1"/>
      <protection locked="0"/>
    </xf>
    <xf numFmtId="0" fontId="23" fillId="7" borderId="28" xfId="0" applyFont="1" applyFill="1" applyBorder="1" applyAlignment="1" applyProtection="1">
      <alignment horizontal="center" vertical="center"/>
      <protection locked="0"/>
    </xf>
    <xf numFmtId="0" fontId="0" fillId="7" borderId="29" xfId="0" applyFill="1" applyBorder="1" applyAlignment="1" applyProtection="1">
      <alignment horizontal="center" vertical="center" wrapText="1"/>
      <protection locked="0"/>
    </xf>
    <xf numFmtId="0" fontId="0" fillId="7" borderId="30" xfId="0" applyFill="1" applyBorder="1" applyAlignment="1" applyProtection="1">
      <alignment horizontal="center" vertical="center" wrapText="1"/>
      <protection locked="0"/>
    </xf>
    <xf numFmtId="0" fontId="0" fillId="7" borderId="47" xfId="0" applyFill="1" applyBorder="1" applyAlignment="1" applyProtection="1">
      <alignment horizontal="center" vertical="center" wrapText="1"/>
      <protection locked="0"/>
    </xf>
    <xf numFmtId="0" fontId="23" fillId="7" borderId="155" xfId="0" applyFont="1" applyFill="1" applyBorder="1" applyAlignment="1" applyProtection="1">
      <alignment horizontal="center" vertical="center"/>
      <protection locked="0"/>
    </xf>
    <xf numFmtId="0" fontId="65" fillId="7" borderId="22" xfId="0" applyFont="1" applyFill="1" applyBorder="1" applyAlignment="1" applyProtection="1">
      <alignment horizontal="center"/>
      <protection locked="0"/>
    </xf>
    <xf numFmtId="0" fontId="65" fillId="7" borderId="36" xfId="0" applyFont="1" applyFill="1" applyBorder="1" applyAlignment="1" applyProtection="1">
      <alignment horizontal="center"/>
      <protection locked="0"/>
    </xf>
    <xf numFmtId="0" fontId="223" fillId="63" borderId="57" xfId="0" applyFont="1" applyFill="1" applyBorder="1" applyAlignment="1" applyProtection="1">
      <alignment horizontal="left" vertical="top"/>
      <protection locked="0"/>
    </xf>
    <xf numFmtId="0" fontId="223" fillId="63" borderId="31" xfId="0" applyFont="1" applyFill="1" applyBorder="1" applyAlignment="1" applyProtection="1">
      <alignment horizontal="center" vertical="top"/>
      <protection locked="0"/>
    </xf>
    <xf numFmtId="0" fontId="223" fillId="63" borderId="27" xfId="0" applyFont="1" applyFill="1" applyBorder="1" applyAlignment="1" applyProtection="1">
      <alignment horizontal="center" vertical="top"/>
      <protection locked="0"/>
    </xf>
    <xf numFmtId="166" fontId="14" fillId="7" borderId="308" xfId="0" applyNumberFormat="1" applyFont="1" applyFill="1" applyBorder="1" applyAlignment="1" applyProtection="1">
      <alignment horizontal="center" wrapText="1"/>
      <protection locked="0"/>
    </xf>
    <xf numFmtId="0" fontId="223" fillId="63" borderId="31" xfId="0" applyFont="1" applyFill="1" applyBorder="1" applyAlignment="1" applyProtection="1">
      <alignment horizontal="left" vertical="top"/>
      <protection locked="0"/>
    </xf>
    <xf numFmtId="0" fontId="223" fillId="63" borderId="27" xfId="0" applyFont="1" applyFill="1" applyBorder="1" applyAlignment="1" applyProtection="1">
      <alignment horizontal="left" vertical="top"/>
      <protection locked="0"/>
    </xf>
    <xf numFmtId="0" fontId="5" fillId="2" borderId="0" xfId="0" applyFont="1" applyFill="1" applyAlignment="1" applyProtection="1">
      <alignment horizontal="center" vertical="top" wrapText="1"/>
      <protection locked="0"/>
    </xf>
    <xf numFmtId="0" fontId="146" fillId="11" borderId="155" xfId="0" applyFont="1" applyFill="1" applyBorder="1" applyAlignment="1" applyProtection="1">
      <alignment horizontal="center" vertical="center"/>
      <protection locked="0"/>
    </xf>
    <xf numFmtId="179" fontId="147" fillId="0" borderId="397" xfId="0" applyNumberFormat="1" applyFont="1" applyBorder="1" applyAlignment="1" applyProtection="1">
      <alignment horizontal="center"/>
      <protection locked="0"/>
    </xf>
    <xf numFmtId="9" fontId="147" fillId="7" borderId="63" xfId="3" applyFont="1" applyFill="1" applyBorder="1" applyAlignment="1" applyProtection="1">
      <alignment vertical="top" wrapText="1"/>
      <protection locked="0"/>
    </xf>
    <xf numFmtId="0" fontId="0" fillId="12" borderId="22" xfId="0" applyFill="1" applyBorder="1" applyProtection="1">
      <protection locked="0"/>
    </xf>
    <xf numFmtId="0" fontId="0" fillId="2" borderId="30" xfId="0" applyFill="1" applyBorder="1" applyAlignment="1" applyProtection="1">
      <alignment vertical="top" wrapText="1"/>
      <protection locked="0"/>
    </xf>
    <xf numFmtId="0" fontId="0" fillId="2" borderId="47" xfId="0" applyFill="1" applyBorder="1" applyAlignment="1" applyProtection="1">
      <alignment vertical="top" wrapText="1"/>
      <protection locked="0"/>
    </xf>
    <xf numFmtId="182" fontId="147" fillId="7" borderId="397" xfId="0" applyNumberFormat="1" applyFont="1" applyFill="1" applyBorder="1" applyAlignment="1" applyProtection="1">
      <alignment horizontal="center"/>
      <protection locked="0"/>
    </xf>
    <xf numFmtId="0" fontId="0" fillId="2" borderId="0" xfId="0" applyFill="1" applyAlignment="1" applyProtection="1">
      <alignment vertical="top" wrapText="1"/>
      <protection locked="0"/>
    </xf>
    <xf numFmtId="0" fontId="0" fillId="2" borderId="38" xfId="0" applyFill="1" applyBorder="1" applyAlignment="1" applyProtection="1">
      <alignment vertical="top" wrapText="1"/>
      <protection locked="0"/>
    </xf>
    <xf numFmtId="3" fontId="166" fillId="7" borderId="402" xfId="0" quotePrefix="1" applyNumberFormat="1" applyFont="1" applyFill="1" applyBorder="1" applyAlignment="1" applyProtection="1">
      <alignment horizontal="center"/>
      <protection locked="0"/>
    </xf>
    <xf numFmtId="179" fontId="151" fillId="0" borderId="403" xfId="0" applyNumberFormat="1" applyFont="1" applyBorder="1" applyAlignment="1" applyProtection="1">
      <alignment horizontal="center"/>
      <protection locked="0"/>
    </xf>
    <xf numFmtId="179" fontId="151" fillId="0" borderId="404" xfId="0" applyNumberFormat="1" applyFont="1" applyBorder="1" applyAlignment="1" applyProtection="1">
      <alignment horizontal="center"/>
      <protection locked="0"/>
    </xf>
    <xf numFmtId="0" fontId="0" fillId="12" borderId="23" xfId="0" applyFill="1" applyBorder="1" applyProtection="1">
      <protection locked="0"/>
    </xf>
    <xf numFmtId="179" fontId="147" fillId="7" borderId="397" xfId="0" applyNumberFormat="1" applyFont="1" applyFill="1" applyBorder="1" applyAlignment="1" applyProtection="1">
      <alignment horizontal="center"/>
      <protection locked="0"/>
    </xf>
    <xf numFmtId="0" fontId="67" fillId="2" borderId="0" xfId="0" applyFont="1" applyFill="1" applyAlignment="1" applyProtection="1">
      <alignment vertical="center"/>
      <protection locked="0"/>
    </xf>
    <xf numFmtId="2" fontId="28" fillId="34" borderId="9" xfId="0" applyNumberFormat="1" applyFont="1" applyFill="1" applyBorder="1" applyAlignment="1" applyProtection="1">
      <alignment horizontal="center" vertical="center" wrapText="1"/>
      <protection locked="0"/>
    </xf>
    <xf numFmtId="0" fontId="109" fillId="22" borderId="200" xfId="0" applyFont="1" applyFill="1" applyBorder="1" applyAlignment="1" applyProtection="1">
      <alignment horizontal="center" vertical="center" wrapText="1"/>
      <protection locked="0"/>
    </xf>
    <xf numFmtId="0" fontId="68" fillId="22" borderId="9" xfId="0" applyFont="1" applyFill="1" applyBorder="1" applyAlignment="1" applyProtection="1">
      <alignment horizontal="center" vertical="center" wrapText="1"/>
      <protection locked="0"/>
    </xf>
    <xf numFmtId="0" fontId="109" fillId="22" borderId="9" xfId="0" applyFont="1" applyFill="1" applyBorder="1" applyAlignment="1" applyProtection="1">
      <alignment horizontal="center" vertical="center" wrapText="1"/>
      <protection locked="0"/>
    </xf>
    <xf numFmtId="0" fontId="68" fillId="22" borderId="201" xfId="0" applyFont="1" applyFill="1" applyBorder="1" applyAlignment="1" applyProtection="1">
      <alignment horizontal="center" vertical="center" wrapText="1"/>
      <protection locked="0"/>
    </xf>
    <xf numFmtId="0" fontId="70" fillId="2" borderId="0" xfId="0" applyFont="1" applyFill="1" applyProtection="1">
      <protection locked="0"/>
    </xf>
    <xf numFmtId="0" fontId="64" fillId="22" borderId="9" xfId="0" applyFont="1" applyFill="1" applyBorder="1" applyAlignment="1" applyProtection="1">
      <alignment horizontal="center" vertical="center" wrapText="1"/>
      <protection locked="0"/>
    </xf>
    <xf numFmtId="17" fontId="69" fillId="21" borderId="0" xfId="0" applyNumberFormat="1" applyFont="1" applyFill="1" applyAlignment="1" applyProtection="1">
      <alignment horizontal="center" vertical="center" wrapText="1"/>
      <protection locked="0"/>
    </xf>
    <xf numFmtId="0" fontId="0" fillId="0" borderId="0" xfId="0" applyAlignment="1" applyProtection="1">
      <alignment wrapText="1"/>
      <protection locked="0"/>
    </xf>
    <xf numFmtId="0" fontId="24" fillId="22" borderId="179" xfId="0" applyFont="1" applyFill="1" applyBorder="1" applyAlignment="1" applyProtection="1">
      <alignment horizontal="center" vertical="center" wrapText="1"/>
      <protection locked="0"/>
    </xf>
    <xf numFmtId="0" fontId="24" fillId="22" borderId="9" xfId="0" applyFont="1" applyFill="1" applyBorder="1" applyAlignment="1" applyProtection="1">
      <alignment horizontal="center" vertical="center" wrapText="1"/>
      <protection locked="0"/>
    </xf>
    <xf numFmtId="176" fontId="36" fillId="34" borderId="0" xfId="0" applyNumberFormat="1" applyFont="1" applyFill="1" applyAlignment="1" applyProtection="1">
      <alignment horizontal="center" vertical="center" wrapText="1"/>
      <protection locked="0"/>
    </xf>
    <xf numFmtId="176" fontId="36" fillId="73" borderId="0" xfId="0" applyNumberFormat="1" applyFont="1" applyFill="1" applyAlignment="1" applyProtection="1">
      <alignment horizontal="center" vertical="center" wrapText="1"/>
      <protection locked="0"/>
    </xf>
    <xf numFmtId="2" fontId="36" fillId="73" borderId="0" xfId="0" applyNumberFormat="1" applyFont="1" applyFill="1" applyAlignment="1" applyProtection="1">
      <alignment horizontal="center" vertical="center" wrapText="1"/>
      <protection locked="0"/>
    </xf>
    <xf numFmtId="0" fontId="36" fillId="22" borderId="177" xfId="0" applyFont="1" applyFill="1" applyBorder="1" applyAlignment="1" applyProtection="1">
      <alignment horizontal="right" vertical="center" wrapText="1"/>
      <protection locked="0"/>
    </xf>
    <xf numFmtId="0" fontId="36" fillId="22" borderId="196" xfId="0" applyFont="1" applyFill="1" applyBorder="1" applyAlignment="1" applyProtection="1">
      <alignment horizontal="right" vertical="center" wrapText="1"/>
      <protection locked="0"/>
    </xf>
    <xf numFmtId="0" fontId="0" fillId="2" borderId="207" xfId="0" applyFill="1" applyBorder="1" applyProtection="1">
      <protection locked="0"/>
    </xf>
    <xf numFmtId="0" fontId="35" fillId="2" borderId="0" xfId="0" applyFont="1" applyFill="1" applyAlignment="1" applyProtection="1">
      <alignment vertical="center" wrapText="1"/>
      <protection locked="0"/>
    </xf>
    <xf numFmtId="0" fontId="0" fillId="2" borderId="204" xfId="0" applyFill="1" applyBorder="1" applyProtection="1">
      <protection locked="0"/>
    </xf>
    <xf numFmtId="0" fontId="0" fillId="2" borderId="205" xfId="0" applyFill="1" applyBorder="1" applyProtection="1">
      <protection locked="0"/>
    </xf>
    <xf numFmtId="176" fontId="36" fillId="33" borderId="9" xfId="0" applyNumberFormat="1" applyFont="1" applyFill="1" applyBorder="1" applyAlignment="1">
      <alignment horizontal="center" vertical="center" wrapText="1"/>
    </xf>
    <xf numFmtId="176" fontId="36" fillId="33" borderId="152" xfId="0" applyNumberFormat="1" applyFont="1" applyFill="1" applyBorder="1" applyAlignment="1">
      <alignment horizontal="center" vertical="center" wrapText="1"/>
    </xf>
    <xf numFmtId="0" fontId="36" fillId="22" borderId="0" xfId="0" applyFont="1" applyFill="1" applyAlignment="1">
      <alignment horizontal="center" vertical="center" wrapText="1"/>
    </xf>
    <xf numFmtId="187" fontId="66" fillId="22" borderId="411" xfId="0" applyNumberFormat="1" applyFont="1" applyFill="1" applyBorder="1" applyAlignment="1">
      <alignment horizontal="center" vertical="center" wrapText="1"/>
    </xf>
    <xf numFmtId="1" fontId="36" fillId="22" borderId="0" xfId="0" applyNumberFormat="1" applyFont="1" applyFill="1" applyAlignment="1">
      <alignment horizontal="center" vertical="center" wrapText="1"/>
    </xf>
    <xf numFmtId="0" fontId="235" fillId="2" borderId="0" xfId="0" applyFont="1" applyFill="1" applyAlignment="1">
      <alignment vertical="center" wrapText="1"/>
    </xf>
    <xf numFmtId="0" fontId="14" fillId="14" borderId="0" xfId="0" applyFont="1" applyFill="1"/>
    <xf numFmtId="0" fontId="187" fillId="2" borderId="22" xfId="0" applyFont="1" applyFill="1" applyBorder="1" applyAlignment="1" applyProtection="1">
      <alignment horizontal="center" vertical="center"/>
      <protection locked="0"/>
    </xf>
    <xf numFmtId="176" fontId="226" fillId="7" borderId="22" xfId="0" applyNumberFormat="1" applyFont="1" applyFill="1" applyBorder="1" applyAlignment="1" applyProtection="1">
      <alignment horizontal="center" vertical="center" wrapText="1"/>
      <protection locked="0"/>
    </xf>
    <xf numFmtId="0" fontId="187" fillId="10" borderId="22" xfId="0" applyFont="1" applyFill="1" applyBorder="1" applyAlignment="1" applyProtection="1">
      <alignment horizontal="center" vertical="center"/>
      <protection locked="0"/>
    </xf>
    <xf numFmtId="0" fontId="236" fillId="10" borderId="415" xfId="0" applyFont="1" applyFill="1" applyBorder="1" applyAlignment="1" applyProtection="1">
      <alignment horizontal="center" vertical="center" wrapText="1"/>
      <protection locked="0"/>
    </xf>
    <xf numFmtId="176" fontId="0" fillId="10" borderId="22" xfId="0" quotePrefix="1" applyNumberFormat="1" applyFill="1" applyBorder="1" applyAlignment="1">
      <alignment horizontal="center" vertical="center" wrapText="1"/>
    </xf>
    <xf numFmtId="176" fontId="3" fillId="10" borderId="308" xfId="0" applyNumberFormat="1" applyFont="1" applyFill="1" applyBorder="1"/>
    <xf numFmtId="176" fontId="3" fillId="10" borderId="308" xfId="0" applyNumberFormat="1" applyFont="1" applyFill="1" applyBorder="1" applyAlignment="1">
      <alignment horizontal="right"/>
    </xf>
    <xf numFmtId="176" fontId="0" fillId="10" borderId="308" xfId="0" applyNumberFormat="1" applyFill="1" applyBorder="1"/>
    <xf numFmtId="2" fontId="0" fillId="10" borderId="308" xfId="0" applyNumberFormat="1" applyFill="1" applyBorder="1" applyProtection="1">
      <protection locked="0"/>
    </xf>
    <xf numFmtId="164" fontId="3" fillId="10" borderId="308" xfId="0" applyNumberFormat="1" applyFont="1" applyFill="1" applyBorder="1" applyProtection="1">
      <protection locked="0"/>
    </xf>
    <xf numFmtId="164" fontId="0" fillId="10" borderId="308" xfId="0" applyNumberFormat="1" applyFill="1" applyBorder="1"/>
    <xf numFmtId="177" fontId="187" fillId="10" borderId="22" xfId="0" applyNumberFormat="1" applyFont="1" applyFill="1" applyBorder="1" applyAlignment="1" applyProtection="1">
      <alignment horizontal="center" vertical="center" wrapText="1"/>
      <protection locked="0"/>
    </xf>
    <xf numFmtId="0" fontId="164" fillId="11" borderId="128" xfId="0" applyFont="1" applyFill="1" applyBorder="1" applyAlignment="1" applyProtection="1">
      <alignment horizontal="center"/>
      <protection locked="0"/>
    </xf>
    <xf numFmtId="0" fontId="164" fillId="2" borderId="0" xfId="0" applyFont="1" applyFill="1" applyAlignment="1" applyProtection="1">
      <alignment horizontal="center"/>
      <protection locked="0"/>
    </xf>
    <xf numFmtId="0" fontId="164" fillId="11" borderId="116" xfId="0" applyFont="1" applyFill="1" applyBorder="1" applyAlignment="1" applyProtection="1">
      <alignment horizontal="center"/>
      <protection locked="0"/>
    </xf>
    <xf numFmtId="0" fontId="164" fillId="2" borderId="421" xfId="0" applyFont="1" applyFill="1" applyBorder="1" applyAlignment="1" applyProtection="1">
      <alignment horizontal="center"/>
      <protection locked="0"/>
    </xf>
    <xf numFmtId="0" fontId="164" fillId="11" borderId="422" xfId="0" applyFont="1" applyFill="1" applyBorder="1" applyAlignment="1" applyProtection="1">
      <alignment horizontal="center"/>
      <protection locked="0"/>
    </xf>
    <xf numFmtId="0" fontId="151" fillId="5" borderId="22" xfId="0" applyFont="1" applyFill="1" applyBorder="1" applyAlignment="1" applyProtection="1">
      <alignment horizontal="center" vertical="center" wrapText="1"/>
      <protection locked="0"/>
    </xf>
    <xf numFmtId="0" fontId="151" fillId="5" borderId="22" xfId="0" applyFont="1" applyFill="1" applyBorder="1" applyAlignment="1" applyProtection="1">
      <alignment horizontal="center" vertical="center"/>
      <protection locked="0"/>
    </xf>
    <xf numFmtId="0" fontId="0" fillId="5" borderId="22" xfId="0" applyFill="1" applyBorder="1" applyAlignment="1" applyProtection="1">
      <alignment horizontal="center" vertical="center" wrapText="1"/>
      <protection locked="0"/>
    </xf>
    <xf numFmtId="0" fontId="226" fillId="5" borderId="22" xfId="0" applyFont="1" applyFill="1" applyBorder="1" applyAlignment="1" applyProtection="1">
      <alignment horizontal="center" vertical="center" wrapText="1"/>
      <protection locked="0"/>
    </xf>
    <xf numFmtId="0" fontId="0" fillId="5" borderId="28" xfId="0" applyFill="1" applyBorder="1" applyAlignment="1" applyProtection="1">
      <alignment horizontal="center" vertical="center" wrapText="1"/>
      <protection locked="0"/>
    </xf>
    <xf numFmtId="0" fontId="187" fillId="5" borderId="22" xfId="0" applyFont="1" applyFill="1" applyBorder="1" applyAlignment="1" applyProtection="1">
      <alignment horizontal="center" vertical="center"/>
      <protection locked="0"/>
    </xf>
    <xf numFmtId="0" fontId="187" fillId="5" borderId="9" xfId="0" applyFont="1" applyFill="1" applyBorder="1" applyAlignment="1" applyProtection="1">
      <alignment horizontal="center" vertical="center"/>
      <protection locked="0"/>
    </xf>
    <xf numFmtId="0" fontId="187" fillId="5" borderId="387" xfId="0" applyFont="1" applyFill="1" applyBorder="1" applyAlignment="1" applyProtection="1">
      <alignment horizontal="center" vertical="center"/>
      <protection locked="0"/>
    </xf>
    <xf numFmtId="0" fontId="67" fillId="2" borderId="357" xfId="0" applyFont="1" applyFill="1" applyBorder="1"/>
    <xf numFmtId="0" fontId="67" fillId="2" borderId="124" xfId="0" applyFont="1" applyFill="1" applyBorder="1"/>
    <xf numFmtId="0" fontId="67" fillId="2" borderId="125" xfId="0" applyFont="1" applyFill="1" applyBorder="1"/>
    <xf numFmtId="0" fontId="67" fillId="2" borderId="424" xfId="0" applyFont="1" applyFill="1" applyBorder="1"/>
    <xf numFmtId="17" fontId="65" fillId="2" borderId="425" xfId="0" applyNumberFormat="1" applyFont="1" applyFill="1" applyBorder="1" applyAlignment="1">
      <alignment horizontal="center" vertical="center"/>
    </xf>
    <xf numFmtId="0" fontId="68" fillId="22" borderId="426" xfId="0" applyFont="1" applyFill="1" applyBorder="1" applyAlignment="1">
      <alignment horizontal="center" vertical="center" wrapText="1"/>
    </xf>
    <xf numFmtId="0" fontId="68" fillId="22" borderId="9" xfId="0" applyFont="1" applyFill="1" applyBorder="1" applyAlignment="1">
      <alignment horizontal="center" vertical="center" wrapText="1"/>
    </xf>
    <xf numFmtId="0" fontId="68" fillId="22" borderId="387" xfId="0" applyFont="1" applyFill="1" applyBorder="1" applyAlignment="1">
      <alignment horizontal="center" vertical="center" wrapText="1"/>
    </xf>
    <xf numFmtId="0" fontId="24" fillId="22" borderId="427" xfId="0" applyFont="1" applyFill="1" applyBorder="1" applyAlignment="1">
      <alignment horizontal="center" vertical="center" wrapText="1"/>
    </xf>
    <xf numFmtId="0" fontId="24" fillId="22" borderId="428" xfId="0" applyFont="1" applyFill="1" applyBorder="1" applyAlignment="1">
      <alignment horizontal="center" vertical="center" wrapText="1"/>
    </xf>
    <xf numFmtId="0" fontId="36" fillId="22" borderId="426" xfId="0" applyFont="1" applyFill="1" applyBorder="1" applyAlignment="1">
      <alignment horizontal="center" vertical="center" wrapText="1"/>
    </xf>
    <xf numFmtId="0" fontId="36" fillId="22" borderId="9" xfId="0" applyFont="1" applyFill="1" applyBorder="1" applyAlignment="1">
      <alignment horizontal="center" vertical="center" wrapText="1"/>
    </xf>
    <xf numFmtId="0" fontId="36" fillId="22" borderId="427" xfId="0" applyFont="1" applyFill="1" applyBorder="1" applyAlignment="1">
      <alignment horizontal="center" vertical="center" wrapText="1"/>
    </xf>
    <xf numFmtId="1" fontId="36" fillId="21" borderId="428" xfId="0" applyNumberFormat="1" applyFont="1" applyFill="1" applyBorder="1" applyAlignment="1">
      <alignment horizontal="center" vertical="center" wrapText="1"/>
    </xf>
    <xf numFmtId="0" fontId="36" fillId="22" borderId="429" xfId="0" applyFont="1" applyFill="1" applyBorder="1" applyAlignment="1">
      <alignment horizontal="center" vertical="center" wrapText="1"/>
    </xf>
    <xf numFmtId="1" fontId="36" fillId="21" borderId="430" xfId="0" applyNumberFormat="1" applyFont="1" applyFill="1" applyBorder="1" applyAlignment="1">
      <alignment horizontal="center" vertical="center" wrapText="1"/>
    </xf>
    <xf numFmtId="0" fontId="35" fillId="2" borderId="129" xfId="0" applyFont="1" applyFill="1" applyBorder="1"/>
    <xf numFmtId="0" fontId="0" fillId="0" borderId="131" xfId="0" applyBorder="1"/>
    <xf numFmtId="2" fontId="68" fillId="22" borderId="332" xfId="0" applyNumberFormat="1" applyFont="1" applyFill="1" applyBorder="1" applyAlignment="1">
      <alignment horizontal="center" vertical="center" wrapText="1"/>
    </xf>
    <xf numFmtId="0" fontId="0" fillId="2" borderId="132" xfId="0" applyFill="1" applyBorder="1"/>
    <xf numFmtId="0" fontId="66" fillId="2" borderId="431" xfId="0" applyFont="1" applyFill="1" applyBorder="1"/>
    <xf numFmtId="0" fontId="187" fillId="0" borderId="432" xfId="0" applyFont="1" applyBorder="1"/>
    <xf numFmtId="0" fontId="66" fillId="2" borderId="432" xfId="0" applyFont="1" applyFill="1" applyBorder="1"/>
    <xf numFmtId="191" fontId="66" fillId="2" borderId="433" xfId="9" applyNumberFormat="1" applyFont="1" applyFill="1" applyBorder="1"/>
    <xf numFmtId="0" fontId="144" fillId="11" borderId="434" xfId="0" applyFont="1" applyFill="1" applyBorder="1" applyAlignment="1">
      <alignment horizontal="center"/>
    </xf>
    <xf numFmtId="0" fontId="144" fillId="11" borderId="0" xfId="0" applyFont="1" applyFill="1" applyAlignment="1">
      <alignment horizontal="center"/>
    </xf>
    <xf numFmtId="0" fontId="144" fillId="11" borderId="435" xfId="0" applyFont="1" applyFill="1" applyBorder="1" applyAlignment="1">
      <alignment horizontal="center"/>
    </xf>
    <xf numFmtId="0" fontId="34" fillId="14" borderId="0" xfId="0" applyFont="1" applyFill="1"/>
    <xf numFmtId="0" fontId="239" fillId="14" borderId="0" xfId="0" applyFont="1" applyFill="1"/>
    <xf numFmtId="0" fontId="0" fillId="14" borderId="0" xfId="0" applyFill="1" applyAlignment="1" applyProtection="1">
      <alignment wrapText="1"/>
      <protection locked="0"/>
    </xf>
    <xf numFmtId="0" fontId="42" fillId="63" borderId="0" xfId="0" applyFont="1" applyFill="1" applyAlignment="1">
      <alignment horizontal="center"/>
    </xf>
    <xf numFmtId="0" fontId="12" fillId="14" borderId="435" xfId="0" applyFont="1" applyFill="1" applyBorder="1" applyProtection="1">
      <protection locked="0"/>
    </xf>
    <xf numFmtId="0" fontId="42" fillId="63" borderId="434" xfId="0" applyFont="1" applyFill="1" applyBorder="1" applyAlignment="1">
      <alignment horizontal="right"/>
    </xf>
    <xf numFmtId="0" fontId="42" fillId="63" borderId="0" xfId="0" applyFont="1" applyFill="1" applyAlignment="1">
      <alignment horizontal="right"/>
    </xf>
    <xf numFmtId="188" fontId="43" fillId="2" borderId="22" xfId="0" applyNumberFormat="1" applyFont="1" applyFill="1" applyBorder="1" applyAlignment="1" applyProtection="1">
      <alignment vertical="center"/>
      <protection locked="0"/>
    </xf>
    <xf numFmtId="188" fontId="43" fillId="2" borderId="24" xfId="0" applyNumberFormat="1" applyFont="1" applyFill="1" applyBorder="1" applyAlignment="1" applyProtection="1">
      <alignment vertical="center"/>
      <protection locked="0"/>
    </xf>
    <xf numFmtId="0" fontId="18" fillId="74" borderId="0" xfId="0" applyFont="1" applyFill="1" applyAlignment="1">
      <alignment horizontal="center" vertical="center"/>
    </xf>
    <xf numFmtId="0" fontId="28" fillId="14" borderId="435" xfId="0" applyFont="1" applyFill="1" applyBorder="1" applyProtection="1">
      <protection locked="0"/>
    </xf>
    <xf numFmtId="0" fontId="42" fillId="63" borderId="439" xfId="0" applyFont="1" applyFill="1" applyBorder="1" applyAlignment="1">
      <alignment horizontal="right"/>
    </xf>
    <xf numFmtId="0" fontId="42" fillId="63" borderId="423" xfId="0" applyFont="1" applyFill="1" applyBorder="1" applyAlignment="1">
      <alignment horizontal="right"/>
    </xf>
    <xf numFmtId="0" fontId="39" fillId="77" borderId="442" xfId="0" applyFont="1" applyFill="1" applyBorder="1" applyAlignment="1">
      <alignment horizontal="left" vertical="top"/>
    </xf>
    <xf numFmtId="0" fontId="39" fillId="76" borderId="442" xfId="0" applyFont="1" applyFill="1" applyBorder="1" applyAlignment="1">
      <alignment horizontal="left" vertical="top"/>
    </xf>
    <xf numFmtId="0" fontId="44" fillId="0" borderId="442" xfId="0" applyFont="1" applyBorder="1" applyAlignment="1">
      <alignment horizontal="left" vertical="top"/>
    </xf>
    <xf numFmtId="0" fontId="44" fillId="76" borderId="442" xfId="0" applyFont="1" applyFill="1" applyBorder="1" applyAlignment="1">
      <alignment horizontal="left" vertical="top"/>
    </xf>
    <xf numFmtId="176" fontId="240" fillId="2" borderId="411" xfId="0" applyNumberFormat="1" applyFont="1" applyFill="1" applyBorder="1" applyAlignment="1">
      <alignment horizontal="center" vertical="center" wrapText="1"/>
    </xf>
    <xf numFmtId="0" fontId="64" fillId="12" borderId="28" xfId="0" applyFont="1" applyFill="1" applyBorder="1" applyAlignment="1" applyProtection="1">
      <alignment horizontal="center" vertical="center"/>
      <protection locked="0"/>
    </xf>
    <xf numFmtId="0" fontId="64" fillId="12" borderId="165" xfId="0" applyFont="1" applyFill="1" applyBorder="1" applyAlignment="1" applyProtection="1">
      <alignment horizontal="center" vertical="center"/>
      <protection locked="0"/>
    </xf>
    <xf numFmtId="0" fontId="64" fillId="12" borderId="450" xfId="0" applyFont="1" applyFill="1" applyBorder="1" applyAlignment="1" applyProtection="1">
      <alignment horizontal="center" vertical="center"/>
      <protection locked="0"/>
    </xf>
    <xf numFmtId="0" fontId="241" fillId="2" borderId="0" xfId="0" applyFont="1" applyFill="1"/>
    <xf numFmtId="10" fontId="242" fillId="2" borderId="0" xfId="3" applyNumberFormat="1" applyFont="1" applyFill="1" applyAlignment="1" applyProtection="1"/>
    <xf numFmtId="0" fontId="241" fillId="2" borderId="12" xfId="0" applyFont="1" applyFill="1" applyBorder="1"/>
    <xf numFmtId="0" fontId="241" fillId="2" borderId="1" xfId="0" applyFont="1" applyFill="1" applyBorder="1"/>
    <xf numFmtId="10" fontId="0" fillId="2" borderId="0" xfId="0" applyNumberFormat="1" applyFill="1"/>
    <xf numFmtId="0" fontId="241" fillId="2" borderId="11" xfId="0" applyFont="1" applyFill="1" applyBorder="1"/>
    <xf numFmtId="0" fontId="242" fillId="0" borderId="0" xfId="0" applyFont="1"/>
    <xf numFmtId="10" fontId="242" fillId="0" borderId="0" xfId="3" applyNumberFormat="1" applyFont="1" applyAlignment="1" applyProtection="1"/>
    <xf numFmtId="44" fontId="0" fillId="2" borderId="0" xfId="0" applyNumberFormat="1" applyFill="1"/>
    <xf numFmtId="180" fontId="242" fillId="2" borderId="0" xfId="0" applyNumberFormat="1" applyFont="1" applyFill="1"/>
    <xf numFmtId="0" fontId="78" fillId="2" borderId="0" xfId="0" applyFont="1" applyFill="1" applyAlignment="1">
      <alignment horizontal="center" vertical="center" wrapText="1"/>
    </xf>
    <xf numFmtId="0" fontId="46" fillId="2" borderId="11" xfId="0" applyFont="1" applyFill="1" applyBorder="1" applyAlignment="1">
      <alignment horizontal="left" vertical="center"/>
    </xf>
    <xf numFmtId="0" fontId="45" fillId="2" borderId="2" xfId="0" applyFont="1" applyFill="1" applyBorder="1" applyAlignment="1">
      <alignment horizontal="center" vertical="center"/>
    </xf>
    <xf numFmtId="0" fontId="244" fillId="2" borderId="12" xfId="0" applyFont="1" applyFill="1" applyBorder="1" applyAlignment="1">
      <alignment horizontal="center" vertical="center" wrapText="1"/>
    </xf>
    <xf numFmtId="9" fontId="244" fillId="2" borderId="12" xfId="3" applyFont="1" applyFill="1" applyBorder="1" applyAlignment="1" applyProtection="1">
      <alignment horizontal="center" vertical="center" wrapText="1"/>
    </xf>
    <xf numFmtId="0" fontId="244" fillId="2" borderId="1" xfId="0" applyFont="1" applyFill="1" applyBorder="1" applyAlignment="1">
      <alignment horizontal="center" vertical="center" wrapText="1"/>
    </xf>
    <xf numFmtId="0" fontId="45" fillId="2" borderId="73" xfId="0" applyFont="1" applyFill="1" applyBorder="1" applyAlignment="1">
      <alignment horizontal="center" vertical="center"/>
    </xf>
    <xf numFmtId="0" fontId="78" fillId="2" borderId="0" xfId="0" applyFont="1" applyFill="1" applyAlignment="1">
      <alignment vertical="center"/>
    </xf>
    <xf numFmtId="0" fontId="244" fillId="2" borderId="0" xfId="0" applyFont="1" applyFill="1" applyAlignment="1">
      <alignment horizontal="center" vertical="center"/>
    </xf>
    <xf numFmtId="44" fontId="244" fillId="2" borderId="0" xfId="0" applyNumberFormat="1" applyFont="1" applyFill="1" applyAlignment="1">
      <alignment horizontal="center" vertical="center" wrapText="1"/>
    </xf>
    <xf numFmtId="0" fontId="244" fillId="2" borderId="0" xfId="0" applyFont="1" applyFill="1" applyAlignment="1">
      <alignment horizontal="center" vertical="center" wrapText="1"/>
    </xf>
    <xf numFmtId="44" fontId="173" fillId="2" borderId="11" xfId="9" applyFont="1" applyFill="1" applyBorder="1" applyAlignment="1" applyProtection="1">
      <alignment horizontal="center" vertical="center" wrapText="1"/>
    </xf>
    <xf numFmtId="0" fontId="45" fillId="2" borderId="0" xfId="0" applyFont="1" applyFill="1" applyAlignment="1">
      <alignment vertical="center"/>
    </xf>
    <xf numFmtId="0" fontId="245" fillId="2" borderId="0" xfId="0" applyFont="1" applyFill="1" applyAlignment="1">
      <alignment vertical="center"/>
    </xf>
    <xf numFmtId="0" fontId="244" fillId="2" borderId="0" xfId="0" applyFont="1" applyFill="1" applyAlignment="1">
      <alignment horizontal="left" vertical="center"/>
    </xf>
    <xf numFmtId="0" fontId="173" fillId="2" borderId="0" xfId="0" applyFont="1" applyFill="1" applyAlignment="1">
      <alignment horizontal="right" vertical="center" wrapText="1"/>
    </xf>
    <xf numFmtId="0" fontId="173" fillId="2" borderId="11" xfId="0" applyFont="1" applyFill="1" applyBorder="1" applyAlignment="1">
      <alignment horizontal="right" vertical="center" wrapText="1"/>
    </xf>
    <xf numFmtId="177" fontId="173" fillId="2" borderId="0" xfId="0" applyNumberFormat="1" applyFont="1" applyFill="1" applyAlignment="1">
      <alignment horizontal="left" vertical="center" wrapText="1"/>
    </xf>
    <xf numFmtId="0" fontId="187" fillId="2" borderId="0" xfId="0" applyFont="1" applyFill="1" applyAlignment="1">
      <alignment horizontal="left"/>
    </xf>
    <xf numFmtId="0" fontId="173" fillId="2" borderId="0" xfId="0" applyFont="1" applyFill="1" applyAlignment="1">
      <alignment horizontal="left" vertical="center" wrapText="1"/>
    </xf>
    <xf numFmtId="0" fontId="244" fillId="2" borderId="11" xfId="0" applyFont="1" applyFill="1" applyBorder="1" applyAlignment="1">
      <alignment horizontal="right" vertical="center" wrapText="1"/>
    </xf>
    <xf numFmtId="0" fontId="0" fillId="2" borderId="72" xfId="0" applyFill="1" applyBorder="1"/>
    <xf numFmtId="0" fontId="245" fillId="2" borderId="10" xfId="0" applyFont="1" applyFill="1" applyBorder="1" applyAlignment="1">
      <alignment vertical="center"/>
    </xf>
    <xf numFmtId="0" fontId="246" fillId="2" borderId="10" xfId="0" applyFont="1" applyFill="1" applyBorder="1" applyAlignment="1">
      <alignment vertical="center"/>
    </xf>
    <xf numFmtId="0" fontId="78" fillId="2" borderId="10" xfId="0" applyFont="1" applyFill="1" applyBorder="1" applyAlignment="1">
      <alignment horizontal="right" vertical="center" wrapText="1"/>
    </xf>
    <xf numFmtId="0" fontId="244" fillId="2" borderId="71" xfId="0" applyFont="1" applyFill="1" applyBorder="1" applyAlignment="1">
      <alignment horizontal="left" vertical="center" wrapText="1"/>
    </xf>
    <xf numFmtId="0" fontId="5" fillId="2" borderId="451" xfId="0" applyFont="1" applyFill="1" applyBorder="1"/>
    <xf numFmtId="0" fontId="5" fillId="2" borderId="453" xfId="0" applyFont="1" applyFill="1" applyBorder="1"/>
    <xf numFmtId="0" fontId="0" fillId="2" borderId="141" xfId="0" applyFill="1" applyBorder="1"/>
    <xf numFmtId="0" fontId="33" fillId="2" borderId="453" xfId="0" applyFont="1" applyFill="1" applyBorder="1"/>
    <xf numFmtId="0" fontId="247" fillId="11" borderId="118" xfId="0" applyFont="1" applyFill="1" applyBorder="1"/>
    <xf numFmtId="0" fontId="247" fillId="11" borderId="117" xfId="0" applyFont="1" applyFill="1" applyBorder="1"/>
    <xf numFmtId="0" fontId="237" fillId="11" borderId="117" xfId="0" applyFont="1" applyFill="1" applyBorder="1"/>
    <xf numFmtId="0" fontId="237" fillId="11" borderId="456" xfId="0" applyFont="1" applyFill="1" applyBorder="1"/>
    <xf numFmtId="0" fontId="237" fillId="11" borderId="457" xfId="0" applyFont="1" applyFill="1" applyBorder="1"/>
    <xf numFmtId="0" fontId="248" fillId="11" borderId="457" xfId="0" applyFont="1" applyFill="1" applyBorder="1" applyAlignment="1">
      <alignment horizontal="left" vertical="center"/>
    </xf>
    <xf numFmtId="0" fontId="249" fillId="11" borderId="457" xfId="0" applyFont="1" applyFill="1" applyBorder="1"/>
    <xf numFmtId="0" fontId="250" fillId="11" borderId="458" xfId="0" applyFont="1" applyFill="1" applyBorder="1" applyAlignment="1">
      <alignment horizontal="left" vertical="center"/>
    </xf>
    <xf numFmtId="176" fontId="173" fillId="2" borderId="11" xfId="0" applyNumberFormat="1" applyFont="1" applyFill="1" applyBorder="1" applyAlignment="1">
      <alignment horizontal="right" vertical="center" wrapText="1"/>
    </xf>
    <xf numFmtId="0" fontId="245" fillId="2" borderId="0" xfId="0" applyFont="1" applyFill="1" applyAlignment="1">
      <alignment horizontal="left" vertical="center"/>
    </xf>
    <xf numFmtId="0" fontId="251" fillId="2" borderId="0" xfId="0" applyFont="1" applyFill="1" applyAlignment="1">
      <alignment horizontal="left" vertical="center"/>
    </xf>
    <xf numFmtId="176" fontId="245" fillId="2" borderId="73" xfId="0" applyNumberFormat="1" applyFont="1" applyFill="1" applyBorder="1" applyAlignment="1">
      <alignment horizontal="center" vertical="center"/>
    </xf>
    <xf numFmtId="0" fontId="147" fillId="10" borderId="67" xfId="0" applyFont="1" applyFill="1" applyBorder="1" applyAlignment="1" applyProtection="1">
      <alignment horizontal="center" vertical="center"/>
      <protection locked="0"/>
    </xf>
    <xf numFmtId="0" fontId="45" fillId="2" borderId="10" xfId="0" applyFont="1" applyFill="1" applyBorder="1" applyAlignment="1">
      <alignment horizontal="center" vertical="center" wrapText="1"/>
    </xf>
    <xf numFmtId="9" fontId="241" fillId="2" borderId="0" xfId="0" applyNumberFormat="1" applyFont="1" applyFill="1"/>
    <xf numFmtId="0" fontId="1" fillId="2" borderId="0" xfId="0" applyFont="1" applyFill="1"/>
    <xf numFmtId="0" fontId="46" fillId="2" borderId="10" xfId="0" applyFont="1" applyFill="1" applyBorder="1" applyAlignment="1">
      <alignment horizontal="left" vertical="center"/>
    </xf>
    <xf numFmtId="0" fontId="242" fillId="2" borderId="12" xfId="0" applyFont="1" applyFill="1" applyBorder="1" applyAlignment="1">
      <alignment horizontal="right"/>
    </xf>
    <xf numFmtId="0" fontId="45" fillId="2" borderId="72" xfId="0" applyFont="1" applyFill="1" applyBorder="1" applyAlignment="1">
      <alignment horizontal="center" vertical="center"/>
    </xf>
    <xf numFmtId="44" fontId="0" fillId="2" borderId="11" xfId="0" applyNumberFormat="1" applyFill="1" applyBorder="1"/>
    <xf numFmtId="0" fontId="0" fillId="2" borderId="2" xfId="0" applyFill="1" applyBorder="1"/>
    <xf numFmtId="0" fontId="45" fillId="2" borderId="71" xfId="0" applyFont="1" applyFill="1" applyBorder="1" applyAlignment="1">
      <alignment horizontal="center" vertical="center"/>
    </xf>
    <xf numFmtId="0" fontId="0" fillId="12" borderId="308" xfId="0" applyFill="1" applyBorder="1" applyProtection="1">
      <protection locked="0"/>
    </xf>
    <xf numFmtId="176" fontId="0" fillId="0" borderId="308" xfId="0" applyNumberFormat="1" applyBorder="1" applyProtection="1">
      <protection locked="0"/>
    </xf>
    <xf numFmtId="0" fontId="4" fillId="2" borderId="0" xfId="0" applyFont="1" applyFill="1" applyAlignment="1" applyProtection="1">
      <alignment horizontal="center" wrapText="1"/>
      <protection locked="0"/>
    </xf>
    <xf numFmtId="9" fontId="241" fillId="2" borderId="0" xfId="0" applyNumberFormat="1" applyFont="1" applyFill="1" applyAlignment="1">
      <alignment vertical="center"/>
    </xf>
    <xf numFmtId="0" fontId="199" fillId="2" borderId="29" xfId="0" applyFont="1" applyFill="1" applyBorder="1" applyAlignment="1" applyProtection="1">
      <alignment horizontal="right"/>
      <protection locked="0"/>
    </xf>
    <xf numFmtId="0" fontId="183" fillId="64" borderId="354" xfId="0" applyFont="1" applyFill="1" applyBorder="1" applyAlignment="1" applyProtection="1">
      <alignment horizontal="left"/>
      <protection locked="0"/>
    </xf>
    <xf numFmtId="0" fontId="183" fillId="64" borderId="40" xfId="0" applyFont="1" applyFill="1" applyBorder="1" applyAlignment="1" applyProtection="1">
      <alignment horizontal="left"/>
      <protection locked="0"/>
    </xf>
    <xf numFmtId="0" fontId="183" fillId="64" borderId="164" xfId="0" applyFont="1" applyFill="1" applyBorder="1" applyAlignment="1" applyProtection="1">
      <alignment horizontal="left"/>
      <protection locked="0"/>
    </xf>
    <xf numFmtId="0" fontId="199" fillId="2" borderId="51" xfId="0" applyFont="1" applyFill="1" applyBorder="1" applyAlignment="1" applyProtection="1">
      <alignment horizontal="right"/>
      <protection locked="0"/>
    </xf>
    <xf numFmtId="0" fontId="221" fillId="2" borderId="62" xfId="0" applyFont="1" applyFill="1" applyBorder="1" applyAlignment="1" applyProtection="1">
      <alignment horizontal="center"/>
      <protection locked="0"/>
    </xf>
    <xf numFmtId="0" fontId="221" fillId="2" borderId="63" xfId="0" applyFont="1" applyFill="1" applyBorder="1" applyAlignment="1" applyProtection="1">
      <alignment horizontal="center"/>
      <protection locked="0"/>
    </xf>
    <xf numFmtId="0" fontId="221" fillId="2" borderId="22" xfId="0" applyFont="1" applyFill="1" applyBorder="1" applyProtection="1">
      <protection locked="0"/>
    </xf>
    <xf numFmtId="0" fontId="254" fillId="2" borderId="22" xfId="0" applyFont="1" applyFill="1" applyBorder="1" applyProtection="1">
      <protection locked="0"/>
    </xf>
    <xf numFmtId="17" fontId="221" fillId="2" borderId="22" xfId="0" applyNumberFormat="1" applyFont="1" applyFill="1" applyBorder="1" applyAlignment="1" applyProtection="1">
      <alignment vertical="center"/>
      <protection locked="0"/>
    </xf>
    <xf numFmtId="176" fontId="226" fillId="2" borderId="22" xfId="0" applyNumberFormat="1" applyFont="1" applyFill="1" applyBorder="1" applyAlignment="1" applyProtection="1">
      <alignment horizontal="center" vertical="center" wrapText="1"/>
      <protection locked="0"/>
    </xf>
    <xf numFmtId="0" fontId="255" fillId="0" borderId="0" xfId="0" applyFont="1" applyAlignment="1">
      <alignment horizontal="left" vertical="top"/>
    </xf>
    <xf numFmtId="176" fontId="0" fillId="12" borderId="308" xfId="0" applyNumberFormat="1" applyFill="1" applyBorder="1" applyAlignment="1">
      <alignment horizontal="center"/>
    </xf>
    <xf numFmtId="49" fontId="0" fillId="2" borderId="308" xfId="0" applyNumberFormat="1" applyFill="1" applyBorder="1" applyAlignment="1" applyProtection="1">
      <alignment horizontal="right"/>
      <protection locked="0"/>
    </xf>
    <xf numFmtId="49" fontId="0" fillId="2" borderId="308" xfId="0" applyNumberFormat="1" applyFill="1" applyBorder="1" applyProtection="1">
      <protection locked="0"/>
    </xf>
    <xf numFmtId="49" fontId="0" fillId="0" borderId="308" xfId="0" applyNumberFormat="1" applyBorder="1" applyProtection="1">
      <protection locked="0"/>
    </xf>
    <xf numFmtId="0" fontId="247" fillId="11" borderId="0" xfId="0" applyFont="1" applyFill="1" applyAlignment="1">
      <alignment horizontal="center"/>
    </xf>
    <xf numFmtId="17" fontId="44" fillId="12" borderId="22" xfId="0" applyNumberFormat="1" applyFont="1" applyFill="1" applyBorder="1" applyProtection="1">
      <protection locked="0"/>
    </xf>
    <xf numFmtId="0" fontId="65" fillId="14" borderId="0" xfId="0" applyFont="1" applyFill="1"/>
    <xf numFmtId="17" fontId="257" fillId="75" borderId="441" xfId="0" applyNumberFormat="1" applyFont="1" applyFill="1" applyBorder="1" applyProtection="1">
      <protection locked="0"/>
    </xf>
    <xf numFmtId="188" fontId="44" fillId="2" borderId="22" xfId="0" applyNumberFormat="1" applyFont="1" applyFill="1" applyBorder="1" applyAlignment="1" applyProtection="1">
      <alignment horizontal="right"/>
      <protection locked="0"/>
    </xf>
    <xf numFmtId="188" fontId="44" fillId="2" borderId="22" xfId="0" applyNumberFormat="1" applyFont="1" applyFill="1" applyBorder="1"/>
    <xf numFmtId="164" fontId="44" fillId="2" borderId="22" xfId="0" applyNumberFormat="1" applyFont="1" applyFill="1" applyBorder="1" applyProtection="1">
      <protection locked="0"/>
    </xf>
    <xf numFmtId="164" fontId="44" fillId="2" borderId="22" xfId="0" applyNumberFormat="1" applyFont="1" applyFill="1" applyBorder="1"/>
    <xf numFmtId="164" fontId="44" fillId="2" borderId="22" xfId="0" applyNumberFormat="1" applyFont="1" applyFill="1" applyBorder="1" applyAlignment="1" applyProtection="1">
      <alignment vertical="center"/>
      <protection locked="0"/>
    </xf>
    <xf numFmtId="0" fontId="110" fillId="14" borderId="0" xfId="0" applyFont="1" applyFill="1"/>
    <xf numFmtId="164" fontId="44" fillId="2" borderId="22" xfId="0" applyNumberFormat="1" applyFont="1" applyFill="1" applyBorder="1" applyAlignment="1">
      <alignment vertical="center"/>
    </xf>
    <xf numFmtId="9" fontId="44" fillId="7" borderId="22" xfId="0" applyNumberFormat="1" applyFont="1" applyFill="1" applyBorder="1" applyAlignment="1">
      <alignment vertical="center"/>
    </xf>
    <xf numFmtId="9" fontId="258" fillId="7" borderId="22" xfId="0" applyNumberFormat="1" applyFont="1" applyFill="1" applyBorder="1" applyAlignment="1">
      <alignment vertical="center"/>
    </xf>
    <xf numFmtId="0" fontId="44" fillId="2" borderId="22" xfId="0" applyFont="1" applyFill="1" applyBorder="1" applyAlignment="1" applyProtection="1">
      <alignment vertical="center"/>
      <protection locked="0"/>
    </xf>
    <xf numFmtId="17" fontId="44" fillId="2" borderId="22" xfId="0" applyNumberFormat="1" applyFont="1" applyFill="1" applyBorder="1"/>
    <xf numFmtId="177" fontId="44" fillId="2" borderId="22" xfId="0" applyNumberFormat="1" applyFont="1" applyFill="1" applyBorder="1" applyAlignment="1" applyProtection="1">
      <alignment vertical="center"/>
      <protection locked="0"/>
    </xf>
    <xf numFmtId="177" fontId="44" fillId="2" borderId="22" xfId="0" applyNumberFormat="1" applyFont="1" applyFill="1" applyBorder="1" applyAlignment="1">
      <alignment vertical="center"/>
    </xf>
    <xf numFmtId="2" fontId="44" fillId="7" borderId="22" xfId="0" applyNumberFormat="1" applyFont="1" applyFill="1" applyBorder="1" applyAlignment="1">
      <alignment vertical="center"/>
    </xf>
    <xf numFmtId="176" fontId="44" fillId="7" borderId="22" xfId="0" applyNumberFormat="1" applyFont="1" applyFill="1" applyBorder="1" applyAlignment="1">
      <alignment vertical="center"/>
    </xf>
    <xf numFmtId="9" fontId="44" fillId="7" borderId="22" xfId="3" applyFont="1" applyFill="1" applyBorder="1" applyAlignment="1" applyProtection="1">
      <alignment vertical="center"/>
    </xf>
    <xf numFmtId="188" fontId="44" fillId="2" borderId="22" xfId="0" applyNumberFormat="1" applyFont="1" applyFill="1" applyBorder="1" applyAlignment="1" applyProtection="1">
      <alignment vertical="center"/>
      <protection locked="0"/>
    </xf>
    <xf numFmtId="0" fontId="23" fillId="2" borderId="0" xfId="0" applyFont="1" applyFill="1" applyAlignment="1" applyProtection="1">
      <alignment horizontal="center"/>
      <protection locked="0"/>
    </xf>
    <xf numFmtId="0" fontId="0" fillId="7" borderId="0" xfId="0" applyFill="1" applyAlignment="1" applyProtection="1">
      <alignment horizontal="center"/>
      <protection locked="0"/>
    </xf>
    <xf numFmtId="0" fontId="187" fillId="37" borderId="152" xfId="0" applyFont="1" applyFill="1" applyBorder="1" applyAlignment="1" applyProtection="1">
      <alignment horizontal="center" vertical="center"/>
      <protection locked="0"/>
    </xf>
    <xf numFmtId="9" fontId="147" fillId="37" borderId="63" xfId="3" applyFont="1" applyFill="1" applyBorder="1" applyAlignment="1" applyProtection="1">
      <alignment vertical="top" wrapText="1"/>
      <protection locked="0"/>
    </xf>
    <xf numFmtId="17" fontId="221" fillId="2" borderId="22" xfId="0" applyNumberFormat="1" applyFont="1" applyFill="1" applyBorder="1" applyProtection="1">
      <protection locked="0"/>
    </xf>
    <xf numFmtId="0" fontId="221" fillId="2" borderId="22" xfId="0" applyFont="1" applyFill="1" applyBorder="1" applyAlignment="1" applyProtection="1">
      <alignment horizontal="right"/>
      <protection locked="0"/>
    </xf>
    <xf numFmtId="0" fontId="39" fillId="37" borderId="21" xfId="0" applyFont="1" applyFill="1" applyBorder="1" applyAlignment="1" applyProtection="1">
      <alignment horizontal="center" vertical="center"/>
      <protection locked="0"/>
    </xf>
    <xf numFmtId="3" fontId="194" fillId="2" borderId="22" xfId="0" applyNumberFormat="1" applyFont="1" applyFill="1" applyBorder="1" applyAlignment="1" applyProtection="1">
      <alignment horizontal="right" vertical="center"/>
      <protection locked="0"/>
    </xf>
    <xf numFmtId="0" fontId="4" fillId="2" borderId="460" xfId="0" applyFont="1" applyFill="1" applyBorder="1" applyProtection="1">
      <protection locked="0"/>
    </xf>
    <xf numFmtId="179" fontId="147" fillId="2" borderId="397" xfId="0" applyNumberFormat="1" applyFont="1" applyFill="1" applyBorder="1" applyAlignment="1" applyProtection="1">
      <alignment horizontal="center"/>
      <protection locked="0"/>
    </xf>
    <xf numFmtId="0" fontId="45" fillId="2" borderId="117" xfId="0" applyNumberFormat="1" applyFont="1" applyFill="1" applyBorder="1" applyAlignment="1" applyProtection="1">
      <alignment horizontal="center"/>
      <protection locked="0"/>
    </xf>
    <xf numFmtId="0" fontId="45" fillId="2" borderId="118" xfId="0" applyNumberFormat="1" applyFont="1" applyFill="1" applyBorder="1" applyAlignment="1" applyProtection="1">
      <alignment horizontal="center"/>
      <protection locked="0"/>
    </xf>
    <xf numFmtId="0" fontId="65" fillId="74" borderId="0" xfId="0" applyFont="1" applyFill="1" applyProtection="1">
      <protection locked="0"/>
    </xf>
    <xf numFmtId="0" fontId="65" fillId="74" borderId="0" xfId="0" applyFont="1" applyFill="1" applyAlignment="1" applyProtection="1">
      <alignment horizontal="left"/>
      <protection locked="0"/>
    </xf>
    <xf numFmtId="176" fontId="65" fillId="74" borderId="0" xfId="0" applyNumberFormat="1" applyFont="1" applyFill="1" applyAlignment="1" applyProtection="1">
      <alignment horizontal="left"/>
      <protection locked="0"/>
    </xf>
    <xf numFmtId="49" fontId="0" fillId="2" borderId="327" xfId="0" applyNumberFormat="1" applyFill="1" applyBorder="1" applyAlignment="1" applyProtection="1">
      <alignment horizontal="right"/>
      <protection locked="0"/>
    </xf>
    <xf numFmtId="49" fontId="0" fillId="2" borderId="329" xfId="0" applyNumberFormat="1" applyFill="1" applyBorder="1" applyProtection="1">
      <protection locked="0"/>
    </xf>
    <xf numFmtId="0" fontId="5" fillId="7" borderId="0" xfId="0" applyFont="1" applyFill="1" applyBorder="1" applyAlignment="1" applyProtection="1">
      <alignment horizontal="center" vertical="center" wrapText="1"/>
      <protection locked="0"/>
    </xf>
    <xf numFmtId="0" fontId="2" fillId="9" borderId="0" xfId="1" applyFont="1" applyFill="1" applyAlignment="1">
      <alignment horizontal="center"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8" borderId="3" xfId="0" applyFill="1" applyBorder="1" applyAlignment="1">
      <alignment horizontal="center" vertical="center"/>
    </xf>
    <xf numFmtId="0" fontId="0" fillId="8" borderId="6" xfId="0" applyFill="1" applyBorder="1" applyAlignment="1">
      <alignment horizontal="center" vertical="center"/>
    </xf>
    <xf numFmtId="0" fontId="0" fillId="8" borderId="5" xfId="0" applyFill="1" applyBorder="1" applyAlignment="1">
      <alignment horizontal="center" vertical="center"/>
    </xf>
    <xf numFmtId="0" fontId="0" fillId="9" borderId="3" xfId="0" applyFill="1" applyBorder="1" applyAlignment="1">
      <alignment horizontal="center"/>
    </xf>
    <xf numFmtId="0" fontId="0" fillId="9" borderId="6" xfId="0" applyFill="1" applyBorder="1" applyAlignment="1">
      <alignment horizontal="center"/>
    </xf>
    <xf numFmtId="0" fontId="0" fillId="9" borderId="5" xfId="0" applyFill="1" applyBorder="1" applyAlignment="1">
      <alignment horizontal="center"/>
    </xf>
    <xf numFmtId="0" fontId="23" fillId="2" borderId="11" xfId="0" applyFont="1" applyFill="1" applyBorder="1" applyAlignment="1">
      <alignment horizontal="center" vertical="center" wrapText="1"/>
    </xf>
    <xf numFmtId="0" fontId="23" fillId="2" borderId="0" xfId="0" applyFont="1" applyFill="1" applyAlignment="1">
      <alignment horizontal="center" vertical="center" wrapText="1"/>
    </xf>
    <xf numFmtId="0" fontId="0" fillId="2" borderId="11" xfId="0" applyFill="1" applyBorder="1" applyAlignment="1">
      <alignment horizontal="center"/>
    </xf>
    <xf numFmtId="0" fontId="0" fillId="2" borderId="0" xfId="0" applyFill="1" applyAlignment="1">
      <alignment horizontal="center"/>
    </xf>
    <xf numFmtId="0" fontId="0" fillId="5" borderId="3" xfId="0" applyFill="1" applyBorder="1" applyAlignment="1">
      <alignment horizontal="center"/>
    </xf>
    <xf numFmtId="0" fontId="0" fillId="5" borderId="6" xfId="0" applyFill="1" applyBorder="1" applyAlignment="1">
      <alignment horizontal="center"/>
    </xf>
    <xf numFmtId="0" fontId="0" fillId="5" borderId="5" xfId="0" applyFill="1" applyBorder="1" applyAlignment="1">
      <alignment horizontal="center"/>
    </xf>
    <xf numFmtId="17" fontId="0" fillId="2" borderId="3" xfId="0" applyNumberFormat="1" applyFill="1" applyBorder="1" applyAlignment="1">
      <alignment horizontal="center"/>
    </xf>
    <xf numFmtId="0" fontId="0" fillId="2" borderId="6" xfId="0" applyFill="1" applyBorder="1" applyAlignment="1">
      <alignment horizontal="center"/>
    </xf>
    <xf numFmtId="0" fontId="0" fillId="5" borderId="1" xfId="0" applyFill="1" applyBorder="1" applyAlignment="1">
      <alignment horizontal="center"/>
    </xf>
    <xf numFmtId="0" fontId="0" fillId="5" borderId="12" xfId="0" applyFill="1" applyBorder="1" applyAlignment="1">
      <alignment horizontal="center"/>
    </xf>
    <xf numFmtId="0" fontId="0" fillId="5" borderId="2" xfId="0" applyFill="1" applyBorder="1" applyAlignment="1">
      <alignment horizontal="center"/>
    </xf>
    <xf numFmtId="0" fontId="50" fillId="14" borderId="369" xfId="0" applyFont="1" applyFill="1" applyBorder="1" applyAlignment="1">
      <alignment horizontal="center"/>
    </xf>
    <xf numFmtId="0" fontId="50" fillId="14" borderId="370" xfId="0" applyFont="1" applyFill="1" applyBorder="1" applyAlignment="1">
      <alignment horizontal="center"/>
    </xf>
    <xf numFmtId="0" fontId="50" fillId="14" borderId="371" xfId="0" applyFont="1" applyFill="1" applyBorder="1" applyAlignment="1">
      <alignment horizontal="center"/>
    </xf>
    <xf numFmtId="0" fontId="65" fillId="14" borderId="0" xfId="0" applyFont="1" applyFill="1" applyAlignment="1">
      <alignment horizontal="left" wrapText="1"/>
    </xf>
    <xf numFmtId="0" fontId="69" fillId="14" borderId="0" xfId="0" applyFont="1" applyFill="1" applyAlignment="1">
      <alignment horizontal="center"/>
    </xf>
    <xf numFmtId="0" fontId="208" fillId="20" borderId="377" xfId="0" applyFont="1" applyFill="1" applyBorder="1" applyAlignment="1">
      <alignment horizontal="center" vertical="center" wrapText="1"/>
    </xf>
    <xf numFmtId="0" fontId="208" fillId="20" borderId="378" xfId="0" applyFont="1" applyFill="1" applyBorder="1" applyAlignment="1">
      <alignment horizontal="center" vertical="center" wrapText="1"/>
    </xf>
    <xf numFmtId="0" fontId="208" fillId="20" borderId="381" xfId="0" applyFont="1" applyFill="1" applyBorder="1" applyAlignment="1">
      <alignment horizontal="center" vertical="center" wrapText="1"/>
    </xf>
    <xf numFmtId="0" fontId="208" fillId="20" borderId="382" xfId="0" applyFont="1" applyFill="1" applyBorder="1" applyAlignment="1">
      <alignment horizontal="center" vertical="center" wrapText="1"/>
    </xf>
    <xf numFmtId="0" fontId="208" fillId="20" borderId="379" xfId="0" applyFont="1" applyFill="1" applyBorder="1" applyAlignment="1">
      <alignment horizontal="center" vertical="center" wrapText="1"/>
    </xf>
    <xf numFmtId="0" fontId="208" fillId="20" borderId="380" xfId="0" applyFont="1" applyFill="1" applyBorder="1" applyAlignment="1">
      <alignment horizontal="center" vertical="center" wrapText="1"/>
    </xf>
    <xf numFmtId="0" fontId="0" fillId="7" borderId="0" xfId="0" applyFill="1" applyAlignment="1">
      <alignment horizontal="left"/>
    </xf>
    <xf numFmtId="0" fontId="0" fillId="7" borderId="373" xfId="0" applyFill="1" applyBorder="1" applyAlignment="1">
      <alignment horizontal="left"/>
    </xf>
    <xf numFmtId="0" fontId="0" fillId="36" borderId="0" xfId="0" applyFill="1" applyAlignment="1">
      <alignment horizontal="left"/>
    </xf>
    <xf numFmtId="0" fontId="0" fillId="36" borderId="373" xfId="0" applyFill="1" applyBorder="1" applyAlignment="1">
      <alignment horizontal="left"/>
    </xf>
    <xf numFmtId="0" fontId="111" fillId="2" borderId="0" xfId="0" applyFont="1" applyFill="1" applyAlignment="1">
      <alignment horizontal="left"/>
    </xf>
    <xf numFmtId="0" fontId="111" fillId="2" borderId="373" xfId="0" applyFont="1" applyFill="1" applyBorder="1" applyAlignment="1">
      <alignment horizontal="left"/>
    </xf>
    <xf numFmtId="0" fontId="0" fillId="12" borderId="0" xfId="0" applyFill="1" applyAlignment="1">
      <alignment horizontal="left"/>
    </xf>
    <xf numFmtId="0" fontId="0" fillId="12" borderId="373" xfId="0" applyFill="1" applyBorder="1" applyAlignment="1">
      <alignment horizontal="left"/>
    </xf>
    <xf numFmtId="0" fontId="0" fillId="0" borderId="0" xfId="0" applyAlignment="1">
      <alignment horizontal="center"/>
    </xf>
    <xf numFmtId="0" fontId="0" fillId="0" borderId="373" xfId="0" applyBorder="1" applyAlignment="1">
      <alignment horizontal="center"/>
    </xf>
    <xf numFmtId="0" fontId="150" fillId="63" borderId="22" xfId="0" applyFont="1" applyFill="1" applyBorder="1" applyAlignment="1">
      <alignment horizontal="right"/>
    </xf>
    <xf numFmtId="0" fontId="150" fillId="63" borderId="24" xfId="0" applyFont="1" applyFill="1" applyBorder="1" applyAlignment="1">
      <alignment horizontal="right"/>
    </xf>
    <xf numFmtId="0" fontId="147" fillId="62" borderId="23" xfId="0" applyFont="1" applyFill="1" applyBorder="1" applyAlignment="1">
      <alignment horizontal="center"/>
    </xf>
    <xf numFmtId="0" fontId="147" fillId="62" borderId="29" xfId="0" applyFont="1" applyFill="1" applyBorder="1" applyAlignment="1">
      <alignment horizontal="center"/>
    </xf>
    <xf numFmtId="0" fontId="42" fillId="6" borderId="102" xfId="0" applyFont="1" applyFill="1" applyBorder="1" applyAlignment="1">
      <alignment horizontal="center"/>
    </xf>
    <xf numFmtId="0" fontId="42" fillId="6" borderId="103" xfId="0" applyFont="1" applyFill="1" applyBorder="1" applyAlignment="1">
      <alignment horizontal="center"/>
    </xf>
    <xf numFmtId="0" fontId="65" fillId="7" borderId="43" xfId="0" applyFont="1" applyFill="1" applyBorder="1" applyAlignment="1">
      <alignment horizontal="center" vertical="top" wrapText="1"/>
    </xf>
    <xf numFmtId="0" fontId="65" fillId="7" borderId="44" xfId="0" applyFont="1" applyFill="1" applyBorder="1" applyAlignment="1">
      <alignment horizontal="center" vertical="top" wrapText="1"/>
    </xf>
    <xf numFmtId="0" fontId="144" fillId="11" borderId="116" xfId="0" applyFont="1" applyFill="1" applyBorder="1" applyAlignment="1">
      <alignment horizontal="center"/>
    </xf>
    <xf numFmtId="0" fontId="144" fillId="11" borderId="117" xfId="0" applyFont="1" applyFill="1" applyBorder="1" applyAlignment="1">
      <alignment horizontal="center"/>
    </xf>
    <xf numFmtId="0" fontId="144" fillId="11" borderId="118" xfId="0" applyFont="1" applyFill="1" applyBorder="1" applyAlignment="1">
      <alignment horizontal="center"/>
    </xf>
    <xf numFmtId="0" fontId="159" fillId="62" borderId="161" xfId="0" applyFont="1" applyFill="1" applyBorder="1" applyAlignment="1">
      <alignment horizontal="center" vertical="center" wrapText="1"/>
    </xf>
    <xf numFmtId="0" fontId="159" fillId="62" borderId="110" xfId="0" applyFont="1" applyFill="1" applyBorder="1" applyAlignment="1">
      <alignment horizontal="center" vertical="center" wrapText="1"/>
    </xf>
    <xf numFmtId="0" fontId="159" fillId="62" borderId="162" xfId="0" applyFont="1" applyFill="1" applyBorder="1" applyAlignment="1">
      <alignment horizontal="center" vertical="center" wrapText="1"/>
    </xf>
    <xf numFmtId="0" fontId="147" fillId="64" borderId="65" xfId="0" applyFont="1" applyFill="1" applyBorder="1" applyAlignment="1">
      <alignment horizontal="right" vertical="center" wrapText="1"/>
    </xf>
    <xf numFmtId="0" fontId="147" fillId="64" borderId="62" xfId="0" applyFont="1" applyFill="1" applyBorder="1" applyAlignment="1">
      <alignment horizontal="right" vertical="center" wrapText="1"/>
    </xf>
    <xf numFmtId="0" fontId="147" fillId="64" borderId="63" xfId="0" applyFont="1" applyFill="1" applyBorder="1" applyAlignment="1">
      <alignment horizontal="right" vertical="center" wrapText="1"/>
    </xf>
    <xf numFmtId="0" fontId="147" fillId="7" borderId="29" xfId="0" applyFont="1" applyFill="1" applyBorder="1" applyAlignment="1">
      <alignment horizontal="center"/>
    </xf>
    <xf numFmtId="0" fontId="147" fillId="7" borderId="30" xfId="0" applyFont="1" applyFill="1" applyBorder="1" applyAlignment="1">
      <alignment horizontal="center"/>
    </xf>
    <xf numFmtId="0" fontId="147" fillId="7" borderId="47" xfId="0" applyFont="1" applyFill="1" applyBorder="1" applyAlignment="1">
      <alignment horizontal="center"/>
    </xf>
    <xf numFmtId="0" fontId="147" fillId="7" borderId="26" xfId="0" applyFont="1" applyFill="1" applyBorder="1" applyAlignment="1">
      <alignment horizontal="center"/>
    </xf>
    <xf numFmtId="0" fontId="147" fillId="7" borderId="31" xfId="0" applyFont="1" applyFill="1" applyBorder="1" applyAlignment="1">
      <alignment horizontal="center"/>
    </xf>
    <xf numFmtId="0" fontId="147" fillId="7" borderId="48" xfId="0" applyFont="1" applyFill="1" applyBorder="1" applyAlignment="1">
      <alignment horizontal="center"/>
    </xf>
    <xf numFmtId="0" fontId="160" fillId="11" borderId="116" xfId="0" applyFont="1" applyFill="1" applyBorder="1" applyAlignment="1">
      <alignment horizontal="center"/>
    </xf>
    <xf numFmtId="0" fontId="160" fillId="11" borderId="117" xfId="0" applyFont="1" applyFill="1" applyBorder="1" applyAlignment="1">
      <alignment horizontal="center"/>
    </xf>
    <xf numFmtId="0" fontId="160" fillId="11" borderId="118" xfId="0" applyFont="1" applyFill="1" applyBorder="1" applyAlignment="1">
      <alignment horizontal="center"/>
    </xf>
    <xf numFmtId="0" fontId="5" fillId="14" borderId="161" xfId="0" applyFont="1" applyFill="1" applyBorder="1" applyAlignment="1">
      <alignment horizontal="center"/>
    </xf>
    <xf numFmtId="0" fontId="5" fillId="14" borderId="110" xfId="0" applyFont="1" applyFill="1" applyBorder="1" applyAlignment="1">
      <alignment horizontal="center"/>
    </xf>
    <xf numFmtId="0" fontId="5" fillId="14" borderId="123" xfId="0" applyFont="1" applyFill="1" applyBorder="1" applyAlignment="1">
      <alignment horizontal="center"/>
    </xf>
    <xf numFmtId="0" fontId="161" fillId="14" borderId="121" xfId="0" applyFont="1" applyFill="1" applyBorder="1" applyAlignment="1">
      <alignment horizontal="center"/>
    </xf>
    <xf numFmtId="0" fontId="161" fillId="14" borderId="110" xfId="0" applyFont="1" applyFill="1" applyBorder="1" applyAlignment="1">
      <alignment horizontal="center"/>
    </xf>
    <xf numFmtId="0" fontId="161" fillId="14" borderId="162" xfId="0" applyFont="1" applyFill="1" applyBorder="1" applyAlignment="1">
      <alignment horizontal="center"/>
    </xf>
    <xf numFmtId="0" fontId="147" fillId="63" borderId="65" xfId="0" applyFont="1" applyFill="1" applyBorder="1" applyAlignment="1">
      <alignment horizontal="right" vertical="center" wrapText="1"/>
    </xf>
    <xf numFmtId="0" fontId="147" fillId="63" borderId="62" xfId="0" applyFont="1" applyFill="1" applyBorder="1" applyAlignment="1">
      <alignment horizontal="right" vertical="center" wrapText="1"/>
    </xf>
    <xf numFmtId="0" fontId="147" fillId="63" borderId="304" xfId="0" applyFont="1" applyFill="1" applyBorder="1" applyAlignment="1">
      <alignment horizontal="right" vertical="center" wrapText="1"/>
    </xf>
    <xf numFmtId="0" fontId="150" fillId="65" borderId="65" xfId="0" applyFont="1" applyFill="1" applyBorder="1" applyAlignment="1">
      <alignment horizontal="right" vertical="center" wrapText="1"/>
    </xf>
    <xf numFmtId="0" fontId="150" fillId="65" borderId="62" xfId="0" applyFont="1" applyFill="1" applyBorder="1" applyAlignment="1">
      <alignment horizontal="right" vertical="center" wrapText="1"/>
    </xf>
    <xf numFmtId="0" fontId="150" fillId="65" borderId="304" xfId="0" applyFont="1" applyFill="1" applyBorder="1" applyAlignment="1">
      <alignment horizontal="right" vertical="center" wrapText="1"/>
    </xf>
    <xf numFmtId="0" fontId="147" fillId="63" borderId="65" xfId="0" applyFont="1" applyFill="1" applyBorder="1" applyAlignment="1">
      <alignment horizontal="left" vertical="center" wrapText="1"/>
    </xf>
    <xf numFmtId="0" fontId="147" fillId="63" borderId="62" xfId="0" applyFont="1" applyFill="1" applyBorder="1" applyAlignment="1">
      <alignment horizontal="left" vertical="center" wrapText="1"/>
    </xf>
    <xf numFmtId="0" fontId="147" fillId="63" borderId="63" xfId="0" applyFont="1" applyFill="1" applyBorder="1" applyAlignment="1">
      <alignment horizontal="left" vertical="center" wrapText="1"/>
    </xf>
    <xf numFmtId="0" fontId="147" fillId="63" borderId="63" xfId="0" applyFont="1" applyFill="1" applyBorder="1" applyAlignment="1">
      <alignment horizontal="right" vertical="center" wrapText="1"/>
    </xf>
    <xf numFmtId="0" fontId="42" fillId="63" borderId="65" xfId="0" applyFont="1" applyFill="1" applyBorder="1" applyAlignment="1">
      <alignment horizontal="right" vertical="center" wrapText="1"/>
    </xf>
    <xf numFmtId="0" fontId="42" fillId="63" borderId="62" xfId="0" applyFont="1" applyFill="1" applyBorder="1" applyAlignment="1">
      <alignment horizontal="right" vertical="center" wrapText="1"/>
    </xf>
    <xf numFmtId="0" fontId="42" fillId="63" borderId="304" xfId="0" applyFont="1" applyFill="1" applyBorder="1" applyAlignment="1">
      <alignment horizontal="right" vertical="center" wrapText="1"/>
    </xf>
    <xf numFmtId="0" fontId="146" fillId="11" borderId="156" xfId="0" applyFont="1" applyFill="1" applyBorder="1" applyAlignment="1">
      <alignment horizontal="center" vertical="center"/>
    </xf>
    <xf numFmtId="0" fontId="146" fillId="11" borderId="155" xfId="0" applyFont="1" applyFill="1" applyBorder="1" applyAlignment="1">
      <alignment horizontal="center" vertical="center"/>
    </xf>
    <xf numFmtId="0" fontId="146" fillId="11" borderId="59" xfId="0" applyFont="1" applyFill="1" applyBorder="1" applyAlignment="1">
      <alignment horizontal="center" vertical="center"/>
    </xf>
    <xf numFmtId="0" fontId="146" fillId="11" borderId="60" xfId="0" applyFont="1" applyFill="1" applyBorder="1" applyAlignment="1">
      <alignment horizontal="center" vertical="center"/>
    </xf>
    <xf numFmtId="0" fontId="146" fillId="11" borderId="61" xfId="0" applyFont="1" applyFill="1" applyBorder="1" applyAlignment="1">
      <alignment horizontal="center" vertical="center"/>
    </xf>
    <xf numFmtId="0" fontId="147" fillId="62" borderId="22" xfId="0" applyFont="1" applyFill="1" applyBorder="1" applyAlignment="1">
      <alignment horizontal="center"/>
    </xf>
    <xf numFmtId="0" fontId="147" fillId="62" borderId="24" xfId="0" applyFont="1" applyFill="1" applyBorder="1" applyAlignment="1">
      <alignment horizontal="center"/>
    </xf>
    <xf numFmtId="0" fontId="148" fillId="63" borderId="65" xfId="2" applyFont="1" applyFill="1" applyBorder="1" applyAlignment="1">
      <alignment horizontal="center" vertical="top"/>
    </xf>
    <xf numFmtId="0" fontId="148" fillId="63" borderId="62" xfId="2" applyFont="1" applyFill="1" applyBorder="1" applyAlignment="1">
      <alignment horizontal="center" vertical="top"/>
    </xf>
    <xf numFmtId="0" fontId="148" fillId="63" borderId="63" xfId="2" applyFont="1" applyFill="1" applyBorder="1" applyAlignment="1">
      <alignment horizontal="center" vertical="top"/>
    </xf>
    <xf numFmtId="165" fontId="0" fillId="7" borderId="22" xfId="0" applyNumberFormat="1" applyFill="1" applyBorder="1" applyAlignment="1">
      <alignment horizontal="center"/>
    </xf>
    <xf numFmtId="0" fontId="65" fillId="7" borderId="22" xfId="0" applyFont="1" applyFill="1" applyBorder="1" applyAlignment="1">
      <alignment horizontal="center"/>
    </xf>
    <xf numFmtId="0" fontId="65" fillId="7" borderId="36" xfId="0" applyFont="1" applyFill="1" applyBorder="1" applyAlignment="1">
      <alignment horizontal="center"/>
    </xf>
    <xf numFmtId="0" fontId="147" fillId="63" borderId="105" xfId="0" applyFont="1" applyFill="1" applyBorder="1" applyAlignment="1">
      <alignment horizontal="center" vertical="top"/>
    </xf>
    <xf numFmtId="0" fontId="147" fillId="63" borderId="30" xfId="0" applyFont="1" applyFill="1" applyBorder="1" applyAlignment="1">
      <alignment horizontal="center" vertical="top"/>
    </xf>
    <xf numFmtId="0" fontId="147" fillId="63" borderId="58" xfId="0" applyFont="1" applyFill="1" applyBorder="1" applyAlignment="1">
      <alignment horizontal="center" vertical="top"/>
    </xf>
    <xf numFmtId="165" fontId="0" fillId="7" borderId="23" xfId="0" applyNumberFormat="1" applyFill="1" applyBorder="1" applyAlignment="1">
      <alignment horizontal="center"/>
    </xf>
    <xf numFmtId="0" fontId="65" fillId="7" borderId="23" xfId="0" applyFont="1" applyFill="1" applyBorder="1" applyAlignment="1">
      <alignment horizontal="center"/>
    </xf>
    <xf numFmtId="0" fontId="65" fillId="7" borderId="52" xfId="0" applyFont="1" applyFill="1" applyBorder="1" applyAlignment="1">
      <alignment horizontal="center"/>
    </xf>
    <xf numFmtId="0" fontId="149" fillId="11" borderId="42" xfId="2" applyFont="1" applyFill="1" applyBorder="1" applyAlignment="1">
      <alignment horizontal="center" vertical="center"/>
    </xf>
    <xf numFmtId="0" fontId="149" fillId="11" borderId="43" xfId="2" applyFont="1" applyFill="1" applyBorder="1" applyAlignment="1">
      <alignment horizontal="center" vertical="center"/>
    </xf>
    <xf numFmtId="0" fontId="149" fillId="11" borderId="44" xfId="2" applyFont="1" applyFill="1" applyBorder="1" applyAlignment="1">
      <alignment horizontal="center" vertical="center"/>
    </xf>
    <xf numFmtId="0" fontId="147" fillId="63" borderId="39" xfId="0" applyFont="1" applyFill="1" applyBorder="1" applyAlignment="1">
      <alignment horizontal="center" vertical="top" wrapText="1"/>
    </xf>
    <xf numFmtId="0" fontId="147" fillId="63" borderId="40" xfId="0" applyFont="1" applyFill="1" applyBorder="1" applyAlignment="1">
      <alignment horizontal="center" vertical="top" wrapText="1"/>
    </xf>
    <xf numFmtId="0" fontId="147" fillId="63" borderId="164" xfId="0" applyFont="1" applyFill="1" applyBorder="1" applyAlignment="1">
      <alignment horizontal="center" vertical="top" wrapText="1"/>
    </xf>
    <xf numFmtId="0" fontId="0" fillId="0" borderId="165" xfId="0" applyBorder="1" applyAlignment="1">
      <alignment horizontal="center"/>
    </xf>
    <xf numFmtId="0" fontId="65" fillId="7" borderId="165" xfId="0" applyFont="1" applyFill="1" applyBorder="1" applyAlignment="1">
      <alignment horizontal="center"/>
    </xf>
    <xf numFmtId="0" fontId="65" fillId="7" borderId="166" xfId="0" applyFont="1" applyFill="1" applyBorder="1" applyAlignment="1">
      <alignment horizontal="center"/>
    </xf>
    <xf numFmtId="0" fontId="42" fillId="63" borderId="65" xfId="0" applyFont="1" applyFill="1" applyBorder="1" applyAlignment="1">
      <alignment horizontal="center" vertical="top"/>
    </xf>
    <xf numFmtId="0" fontId="42" fillId="63" borderId="62" xfId="0" applyFont="1" applyFill="1" applyBorder="1" applyAlignment="1">
      <alignment horizontal="center" vertical="top"/>
    </xf>
    <xf numFmtId="0" fontId="42" fillId="63" borderId="63" xfId="0" applyFont="1" applyFill="1" applyBorder="1" applyAlignment="1">
      <alignment horizontal="center" vertical="top"/>
    </xf>
    <xf numFmtId="0" fontId="44" fillId="0" borderId="22" xfId="0" applyFont="1" applyBorder="1" applyAlignment="1">
      <alignment horizontal="center"/>
    </xf>
    <xf numFmtId="0" fontId="42" fillId="63" borderId="105" xfId="0" applyFont="1" applyFill="1" applyBorder="1" applyAlignment="1">
      <alignment horizontal="center" vertical="top"/>
    </xf>
    <xf numFmtId="0" fontId="42" fillId="63" borderId="30" xfId="0" applyFont="1" applyFill="1" applyBorder="1" applyAlignment="1">
      <alignment horizontal="center" vertical="top"/>
    </xf>
    <xf numFmtId="0" fontId="42" fillId="63" borderId="58" xfId="0" applyFont="1" applyFill="1" applyBorder="1" applyAlignment="1">
      <alignment horizontal="center" vertical="top"/>
    </xf>
    <xf numFmtId="0" fontId="0" fillId="0" borderId="23" xfId="0" applyBorder="1" applyAlignment="1">
      <alignment horizontal="center"/>
    </xf>
    <xf numFmtId="0" fontId="146" fillId="11" borderId="42" xfId="0" applyFont="1" applyFill="1" applyBorder="1" applyAlignment="1">
      <alignment horizontal="center" vertical="center"/>
    </xf>
    <xf numFmtId="0" fontId="146" fillId="11" borderId="43" xfId="0" applyFont="1" applyFill="1" applyBorder="1" applyAlignment="1">
      <alignment horizontal="center" vertical="center"/>
    </xf>
    <xf numFmtId="0" fontId="146" fillId="11" borderId="44" xfId="0" applyFont="1" applyFill="1" applyBorder="1" applyAlignment="1">
      <alignment horizontal="center" vertical="center"/>
    </xf>
    <xf numFmtId="0" fontId="147" fillId="63" borderId="57" xfId="0" applyFont="1" applyFill="1" applyBorder="1" applyAlignment="1">
      <alignment horizontal="center" vertical="top"/>
    </xf>
    <xf numFmtId="0" fontId="147" fillId="63" borderId="31" xfId="0" applyFont="1" applyFill="1" applyBorder="1" applyAlignment="1">
      <alignment horizontal="center" vertical="top"/>
    </xf>
    <xf numFmtId="0" fontId="147" fillId="63" borderId="27" xfId="0" applyFont="1" applyFill="1" applyBorder="1" applyAlignment="1">
      <alignment horizontal="center" vertical="top"/>
    </xf>
    <xf numFmtId="0" fontId="0" fillId="0" borderId="28" xfId="0" applyBorder="1" applyAlignment="1">
      <alignment horizontal="center"/>
    </xf>
    <xf numFmtId="166" fontId="14" fillId="7" borderId="28" xfId="0" applyNumberFormat="1" applyFont="1" applyFill="1" applyBorder="1" applyAlignment="1">
      <alignment horizontal="center" wrapText="1"/>
    </xf>
    <xf numFmtId="166" fontId="14" fillId="7" borderId="49" xfId="0" applyNumberFormat="1" applyFont="1" applyFill="1" applyBorder="1" applyAlignment="1">
      <alignment horizontal="center" wrapText="1"/>
    </xf>
    <xf numFmtId="0" fontId="147" fillId="63" borderId="65" xfId="0" applyFont="1" applyFill="1" applyBorder="1" applyAlignment="1">
      <alignment horizontal="center" vertical="top"/>
    </xf>
    <xf numFmtId="0" fontId="147" fillId="63" borderId="62" xfId="0" applyFont="1" applyFill="1" applyBorder="1" applyAlignment="1">
      <alignment horizontal="center" vertical="top"/>
    </xf>
    <xf numFmtId="0" fontId="147" fillId="63" borderId="63" xfId="0" applyFont="1" applyFill="1" applyBorder="1" applyAlignment="1">
      <alignment horizontal="center" vertical="top"/>
    </xf>
    <xf numFmtId="0" fontId="65" fillId="7" borderId="22" xfId="0" applyFont="1" applyFill="1" applyBorder="1" applyAlignment="1">
      <alignment horizontal="center" wrapText="1"/>
    </xf>
    <xf numFmtId="0" fontId="65" fillId="7" borderId="36" xfId="0" applyFont="1" applyFill="1" applyBorder="1" applyAlignment="1">
      <alignment horizontal="center" wrapText="1"/>
    </xf>
    <xf numFmtId="0" fontId="44" fillId="0" borderId="23" xfId="0" applyFont="1" applyBorder="1" applyAlignment="1">
      <alignment horizontal="center"/>
    </xf>
    <xf numFmtId="0" fontId="14" fillId="7" borderId="23" xfId="0" applyFont="1" applyFill="1" applyBorder="1" applyAlignment="1">
      <alignment horizontal="center" wrapText="1"/>
    </xf>
    <xf numFmtId="0" fontId="14" fillId="7" borderId="52" xfId="0" applyFont="1" applyFill="1" applyBorder="1" applyAlignment="1">
      <alignment horizontal="center" wrapText="1"/>
    </xf>
    <xf numFmtId="0" fontId="65" fillId="7" borderId="28" xfId="0" applyFont="1" applyFill="1" applyBorder="1" applyAlignment="1">
      <alignment horizontal="center"/>
    </xf>
    <xf numFmtId="0" fontId="65" fillId="7" borderId="49" xfId="0" applyFont="1" applyFill="1" applyBorder="1" applyAlignment="1">
      <alignment horizontal="center"/>
    </xf>
    <xf numFmtId="0" fontId="146" fillId="11" borderId="167" xfId="0" applyFont="1" applyFill="1" applyBorder="1" applyAlignment="1">
      <alignment horizontal="center" vertical="center"/>
    </xf>
    <xf numFmtId="0" fontId="146" fillId="11" borderId="168" xfId="0" applyFont="1" applyFill="1" applyBorder="1" applyAlignment="1">
      <alignment horizontal="center" vertical="center"/>
    </xf>
    <xf numFmtId="0" fontId="147" fillId="63" borderId="57" xfId="0" applyFont="1" applyFill="1" applyBorder="1" applyAlignment="1">
      <alignment horizontal="center" vertical="center"/>
    </xf>
    <xf numFmtId="0" fontId="147" fillId="63" borderId="31" xfId="0" applyFont="1" applyFill="1" applyBorder="1" applyAlignment="1">
      <alignment horizontal="center" vertical="center"/>
    </xf>
    <xf numFmtId="0" fontId="147" fillId="63" borderId="27" xfId="0" applyFont="1" applyFill="1" applyBorder="1" applyAlignment="1">
      <alignment horizontal="center" vertical="center"/>
    </xf>
    <xf numFmtId="0" fontId="14" fillId="7" borderId="28" xfId="0" applyFont="1" applyFill="1" applyBorder="1" applyAlignment="1">
      <alignment horizontal="center" wrapText="1"/>
    </xf>
    <xf numFmtId="0" fontId="14" fillId="7" borderId="49" xfId="0" applyFont="1" applyFill="1" applyBorder="1" applyAlignment="1">
      <alignment horizontal="center" wrapText="1"/>
    </xf>
    <xf numFmtId="0" fontId="147" fillId="63" borderId="65" xfId="0" applyFont="1" applyFill="1" applyBorder="1" applyAlignment="1">
      <alignment horizontal="center" vertical="center" wrapText="1"/>
    </xf>
    <xf numFmtId="0" fontId="147" fillId="63" borderId="62" xfId="0" applyFont="1" applyFill="1" applyBorder="1" applyAlignment="1">
      <alignment horizontal="center" vertical="center" wrapText="1"/>
    </xf>
    <xf numFmtId="0" fontId="147" fillId="63" borderId="63" xfId="0" applyFont="1" applyFill="1" applyBorder="1" applyAlignment="1">
      <alignment horizontal="center" vertical="center" wrapText="1"/>
    </xf>
    <xf numFmtId="0" fontId="0" fillId="0" borderId="22" xfId="0" applyBorder="1" applyAlignment="1">
      <alignment horizontal="center"/>
    </xf>
    <xf numFmtId="0" fontId="14" fillId="7" borderId="22" xfId="0" applyFont="1" applyFill="1" applyBorder="1" applyAlignment="1">
      <alignment horizontal="center" wrapText="1"/>
    </xf>
    <xf numFmtId="0" fontId="14" fillId="7" borderId="36" xfId="0" applyFont="1" applyFill="1" applyBorder="1" applyAlignment="1">
      <alignment horizontal="center" wrapText="1"/>
    </xf>
    <xf numFmtId="0" fontId="147" fillId="63" borderId="292" xfId="0" applyFont="1" applyFill="1" applyBorder="1" applyAlignment="1">
      <alignment horizontal="right" vertical="center" wrapText="1"/>
    </xf>
    <xf numFmtId="0" fontId="147" fillId="63" borderId="293" xfId="0" applyFont="1" applyFill="1" applyBorder="1" applyAlignment="1">
      <alignment horizontal="right" vertical="center" wrapText="1"/>
    </xf>
    <xf numFmtId="0" fontId="147" fillId="63" borderId="294" xfId="0" applyFont="1" applyFill="1" applyBorder="1" applyAlignment="1">
      <alignment horizontal="right" vertical="center" wrapText="1"/>
    </xf>
    <xf numFmtId="0" fontId="160" fillId="11" borderId="135" xfId="0" applyFont="1" applyFill="1" applyBorder="1" applyAlignment="1">
      <alignment horizontal="center" vertical="center" wrapText="1"/>
    </xf>
    <xf numFmtId="0" fontId="160" fillId="11" borderId="43" xfId="0" applyFont="1" applyFill="1" applyBorder="1" applyAlignment="1">
      <alignment horizontal="center" vertical="center" wrapText="1"/>
    </xf>
    <xf numFmtId="0" fontId="160" fillId="11" borderId="142"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40" xfId="0" applyFont="1" applyFill="1" applyBorder="1" applyAlignment="1">
      <alignment horizontal="center" vertical="center" wrapText="1"/>
    </xf>
    <xf numFmtId="0" fontId="147" fillId="63" borderId="65" xfId="0" applyFont="1" applyFill="1" applyBorder="1" applyAlignment="1">
      <alignment horizontal="right"/>
    </xf>
    <xf numFmtId="0" fontId="147" fillId="63" borderId="62" xfId="0" applyFont="1" applyFill="1" applyBorder="1" applyAlignment="1">
      <alignment horizontal="right"/>
    </xf>
    <xf numFmtId="0" fontId="147" fillId="63" borderId="63" xfId="0" applyFont="1" applyFill="1" applyBorder="1" applyAlignment="1">
      <alignment horizontal="right"/>
    </xf>
    <xf numFmtId="0" fontId="147" fillId="63" borderId="305" xfId="0" applyFont="1" applyFill="1" applyBorder="1" applyAlignment="1">
      <alignment horizontal="right"/>
    </xf>
    <xf numFmtId="0" fontId="147" fillId="63" borderId="306" xfId="0" applyFont="1" applyFill="1" applyBorder="1" applyAlignment="1">
      <alignment horizontal="right"/>
    </xf>
    <xf numFmtId="0" fontId="147" fillId="63" borderId="307" xfId="0" applyFont="1" applyFill="1" applyBorder="1" applyAlignment="1">
      <alignment horizontal="right"/>
    </xf>
    <xf numFmtId="0" fontId="160" fillId="11" borderId="116" xfId="0" applyFont="1" applyFill="1" applyBorder="1" applyAlignment="1">
      <alignment horizontal="center" vertical="center" wrapText="1"/>
    </xf>
    <xf numFmtId="0" fontId="160" fillId="11" borderId="117" xfId="0" applyFont="1" applyFill="1" applyBorder="1" applyAlignment="1">
      <alignment horizontal="center" vertical="center" wrapText="1"/>
    </xf>
    <xf numFmtId="0" fontId="160" fillId="11" borderId="118" xfId="0" applyFont="1" applyFill="1" applyBorder="1" applyAlignment="1">
      <alignment horizontal="center" vertical="center" wrapText="1"/>
    </xf>
    <xf numFmtId="0" fontId="101" fillId="2" borderId="210" xfId="0" applyFont="1" applyFill="1" applyBorder="1" applyAlignment="1">
      <alignment horizontal="left" vertical="center"/>
    </xf>
    <xf numFmtId="0" fontId="101" fillId="2" borderId="21" xfId="0" applyFont="1" applyFill="1" applyBorder="1" applyAlignment="1">
      <alignment horizontal="left" vertical="center"/>
    </xf>
    <xf numFmtId="0" fontId="96" fillId="2" borderId="209" xfId="0" applyFont="1" applyFill="1" applyBorder="1" applyAlignment="1">
      <alignment horizontal="center"/>
    </xf>
    <xf numFmtId="0" fontId="96" fillId="2" borderId="210" xfId="0" applyFont="1" applyFill="1" applyBorder="1" applyAlignment="1">
      <alignment horizontal="center"/>
    </xf>
    <xf numFmtId="0" fontId="42" fillId="2" borderId="14" xfId="0" applyFont="1" applyFill="1" applyBorder="1" applyAlignment="1">
      <alignment horizontal="left" vertical="center" wrapText="1"/>
    </xf>
    <xf numFmtId="0" fontId="42" fillId="2" borderId="213" xfId="0" applyFont="1" applyFill="1" applyBorder="1" applyAlignment="1">
      <alignment horizontal="left" vertical="center" wrapText="1"/>
    </xf>
    <xf numFmtId="0" fontId="62" fillId="2" borderId="0" xfId="0" applyFont="1" applyFill="1" applyAlignment="1">
      <alignment horizontal="left" vertical="center"/>
    </xf>
    <xf numFmtId="0" fontId="62" fillId="2" borderId="211" xfId="0" applyFont="1" applyFill="1" applyBorder="1" applyAlignment="1">
      <alignment horizontal="left" vertical="center"/>
    </xf>
    <xf numFmtId="0" fontId="116" fillId="2" borderId="0" xfId="0" applyFont="1" applyFill="1" applyAlignment="1">
      <alignment horizontal="left" vertical="center" wrapText="1"/>
    </xf>
    <xf numFmtId="0" fontId="116" fillId="2" borderId="21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42" fillId="2" borderId="215" xfId="0" applyFont="1" applyFill="1" applyBorder="1" applyAlignment="1">
      <alignment horizontal="left" vertical="center" wrapText="1"/>
    </xf>
    <xf numFmtId="0" fontId="101" fillId="2" borderId="210" xfId="0" applyFont="1" applyFill="1" applyBorder="1" applyAlignment="1">
      <alignment horizontal="left" vertical="center" wrapText="1"/>
    </xf>
    <xf numFmtId="0" fontId="101" fillId="2" borderId="21" xfId="0" applyFont="1" applyFill="1" applyBorder="1" applyAlignment="1">
      <alignment horizontal="left" vertical="center" wrapText="1"/>
    </xf>
    <xf numFmtId="0" fontId="29" fillId="2" borderId="210" xfId="0" applyFont="1" applyFill="1" applyBorder="1" applyAlignment="1">
      <alignment horizontal="left" vertical="center" wrapText="1"/>
    </xf>
    <xf numFmtId="0" fontId="29" fillId="2" borderId="21" xfId="0" applyFont="1" applyFill="1" applyBorder="1" applyAlignment="1">
      <alignment horizontal="left" vertical="center" wrapText="1"/>
    </xf>
    <xf numFmtId="0" fontId="96" fillId="2" borderId="0" xfId="0" applyFont="1" applyFill="1" applyAlignment="1">
      <alignment horizontal="center"/>
    </xf>
    <xf numFmtId="0" fontId="42" fillId="2" borderId="112" xfId="0" applyFont="1" applyFill="1" applyBorder="1" applyAlignment="1">
      <alignment horizontal="right"/>
    </xf>
    <xf numFmtId="0" fontId="42" fillId="2" borderId="22" xfId="0" applyFont="1" applyFill="1" applyBorder="1" applyAlignment="1">
      <alignment horizontal="right"/>
    </xf>
    <xf numFmtId="0" fontId="42" fillId="2" borderId="122" xfId="0" applyFont="1" applyFill="1" applyBorder="1" applyAlignment="1">
      <alignment horizontal="right"/>
    </xf>
    <xf numFmtId="0" fontId="42" fillId="2" borderId="23" xfId="0" applyFont="1" applyFill="1" applyBorder="1" applyAlignment="1">
      <alignment horizontal="right"/>
    </xf>
    <xf numFmtId="0" fontId="12" fillId="2" borderId="23" xfId="0" applyFont="1" applyFill="1" applyBorder="1" applyAlignment="1">
      <alignment horizontal="center"/>
    </xf>
    <xf numFmtId="0" fontId="12" fillId="2" borderId="22" xfId="0" applyFont="1" applyFill="1" applyBorder="1" applyAlignment="1">
      <alignment horizontal="center"/>
    </xf>
    <xf numFmtId="0" fontId="75" fillId="2" borderId="139" xfId="0" applyFont="1" applyFill="1" applyBorder="1" applyAlignment="1">
      <alignment horizontal="center" vertical="center"/>
    </xf>
    <xf numFmtId="0" fontId="75" fillId="2" borderId="51" xfId="0" applyFont="1" applyFill="1" applyBorder="1" applyAlignment="1">
      <alignment horizontal="center" vertical="center"/>
    </xf>
    <xf numFmtId="0" fontId="75" fillId="2" borderId="140" xfId="0" applyFont="1" applyFill="1" applyBorder="1" applyAlignment="1">
      <alignment horizontal="center" vertical="center"/>
    </xf>
    <xf numFmtId="0" fontId="12" fillId="2" borderId="0" xfId="0" applyFont="1" applyFill="1" applyAlignment="1">
      <alignment horizontal="center" vertical="center" wrapText="1"/>
    </xf>
    <xf numFmtId="0" fontId="42" fillId="2" borderId="208" xfId="0" applyFont="1" applyFill="1" applyBorder="1" applyAlignment="1">
      <alignment horizontal="right"/>
    </xf>
    <xf numFmtId="0" fontId="42" fillId="2" borderId="62" xfId="0" applyFont="1" applyFill="1" applyBorder="1" applyAlignment="1">
      <alignment horizontal="right"/>
    </xf>
    <xf numFmtId="0" fontId="42" fillId="2" borderId="63" xfId="0" applyFont="1" applyFill="1" applyBorder="1" applyAlignment="1">
      <alignment horizontal="right"/>
    </xf>
    <xf numFmtId="0" fontId="12" fillId="2" borderId="28" xfId="0" applyFont="1" applyFill="1" applyBorder="1" applyAlignment="1">
      <alignment horizontal="center"/>
    </xf>
    <xf numFmtId="0" fontId="5" fillId="0" borderId="183" xfId="0" applyFont="1" applyBorder="1" applyAlignment="1">
      <alignment horizontal="center"/>
    </xf>
    <xf numFmtId="0" fontId="5" fillId="0" borderId="177" xfId="0" applyFont="1" applyBorder="1" applyAlignment="1">
      <alignment horizontal="center"/>
    </xf>
    <xf numFmtId="0" fontId="5" fillId="4" borderId="183" xfId="0" applyFont="1" applyFill="1" applyBorder="1" applyAlignment="1">
      <alignment horizontal="center"/>
    </xf>
    <xf numFmtId="0" fontId="5" fillId="4" borderId="177" xfId="0" applyFont="1" applyFill="1" applyBorder="1" applyAlignment="1">
      <alignment horizontal="center"/>
    </xf>
    <xf numFmtId="0" fontId="17" fillId="6" borderId="181" xfId="0" applyFont="1" applyFill="1" applyBorder="1" applyAlignment="1">
      <alignment horizontal="center" vertical="center" wrapText="1"/>
    </xf>
    <xf numFmtId="0" fontId="17" fillId="6" borderId="182" xfId="0" applyFont="1" applyFill="1" applyBorder="1" applyAlignment="1">
      <alignment horizontal="center" vertical="center" wrapText="1"/>
    </xf>
    <xf numFmtId="0" fontId="17" fillId="6" borderId="192" xfId="0" applyFont="1" applyFill="1" applyBorder="1" applyAlignment="1">
      <alignment horizontal="center" vertical="center" wrapText="1"/>
    </xf>
    <xf numFmtId="0" fontId="147" fillId="63" borderId="305" xfId="0" applyFont="1" applyFill="1" applyBorder="1" applyAlignment="1">
      <alignment horizontal="right" vertical="center" wrapText="1"/>
    </xf>
    <xf numFmtId="0" fontId="147" fillId="63" borderId="306" xfId="0" applyFont="1" applyFill="1" applyBorder="1" applyAlignment="1">
      <alignment horizontal="right" vertical="center" wrapText="1"/>
    </xf>
    <xf numFmtId="0" fontId="147" fillId="63" borderId="307" xfId="0" applyFont="1" applyFill="1" applyBorder="1" applyAlignment="1">
      <alignment horizontal="right" vertical="center" wrapText="1"/>
    </xf>
    <xf numFmtId="0" fontId="5" fillId="4" borderId="176" xfId="0" applyFont="1" applyFill="1" applyBorder="1" applyAlignment="1">
      <alignment horizontal="right" vertical="center" wrapText="1"/>
    </xf>
    <xf numFmtId="0" fontId="5" fillId="4" borderId="9" xfId="0" applyFont="1" applyFill="1" applyBorder="1" applyAlignment="1">
      <alignment horizontal="right" vertical="center" wrapText="1"/>
    </xf>
    <xf numFmtId="0" fontId="5" fillId="4" borderId="182" xfId="0" applyFont="1" applyFill="1" applyBorder="1" applyAlignment="1">
      <alignment horizontal="center"/>
    </xf>
    <xf numFmtId="0" fontId="12" fillId="4" borderId="0" xfId="0" applyFont="1" applyFill="1" applyAlignment="1">
      <alignment horizontal="center"/>
    </xf>
    <xf numFmtId="0" fontId="76" fillId="6" borderId="187" xfId="0" applyFont="1" applyFill="1" applyBorder="1" applyAlignment="1">
      <alignment horizontal="center"/>
    </xf>
    <xf numFmtId="0" fontId="76" fillId="6" borderId="154" xfId="0" applyFont="1" applyFill="1" applyBorder="1" applyAlignment="1">
      <alignment horizontal="center"/>
    </xf>
    <xf numFmtId="0" fontId="5" fillId="5" borderId="9" xfId="0" applyFont="1" applyFill="1" applyBorder="1" applyAlignment="1">
      <alignment horizontal="center"/>
    </xf>
    <xf numFmtId="0" fontId="5" fillId="7" borderId="0" xfId="0" applyFont="1" applyFill="1" applyAlignment="1">
      <alignment horizontal="center" vertical="center"/>
    </xf>
    <xf numFmtId="0" fontId="5" fillId="0" borderId="9" xfId="0" applyFont="1" applyBorder="1" applyAlignment="1">
      <alignment horizontal="center"/>
    </xf>
    <xf numFmtId="0" fontId="28" fillId="7" borderId="0" xfId="0" applyFont="1" applyFill="1" applyAlignment="1">
      <alignment horizontal="center"/>
    </xf>
    <xf numFmtId="0" fontId="76" fillId="7" borderId="0" xfId="0" applyFont="1" applyFill="1" applyAlignment="1">
      <alignment horizontal="center"/>
    </xf>
    <xf numFmtId="0" fontId="5" fillId="0" borderId="9" xfId="0" applyFont="1" applyBorder="1" applyAlignment="1">
      <alignment horizontal="center" vertical="center"/>
    </xf>
    <xf numFmtId="0" fontId="28" fillId="4" borderId="9" xfId="0" applyFont="1" applyFill="1" applyBorder="1" applyAlignment="1">
      <alignment horizontal="center"/>
    </xf>
    <xf numFmtId="0" fontId="5" fillId="4" borderId="188" xfId="0" applyFont="1" applyFill="1" applyBorder="1" applyAlignment="1">
      <alignment horizontal="center" vertical="center"/>
    </xf>
    <xf numFmtId="0" fontId="5" fillId="4" borderId="185" xfId="0" applyFont="1" applyFill="1" applyBorder="1" applyAlignment="1">
      <alignment horizontal="center" vertical="center"/>
    </xf>
    <xf numFmtId="0" fontId="5" fillId="4" borderId="179" xfId="0" applyFont="1" applyFill="1" applyBorder="1" applyAlignment="1">
      <alignment horizontal="center" vertical="center"/>
    </xf>
    <xf numFmtId="0" fontId="76" fillId="6" borderId="7" xfId="0" applyFont="1" applyFill="1" applyBorder="1" applyAlignment="1">
      <alignment horizontal="center"/>
    </xf>
    <xf numFmtId="0" fontId="76" fillId="6" borderId="0" xfId="0" applyFont="1" applyFill="1" applyAlignment="1">
      <alignment horizontal="center"/>
    </xf>
    <xf numFmtId="0" fontId="36" fillId="4" borderId="0" xfId="0" applyFont="1" applyFill="1" applyAlignment="1">
      <alignment horizontal="center"/>
    </xf>
    <xf numFmtId="0" fontId="36" fillId="4" borderId="8" xfId="0" applyFont="1" applyFill="1" applyBorder="1" applyAlignment="1">
      <alignment horizontal="center"/>
    </xf>
    <xf numFmtId="0" fontId="76" fillId="23" borderId="71" xfId="0" applyFont="1" applyFill="1" applyBorder="1" applyAlignment="1">
      <alignment horizontal="center"/>
    </xf>
    <xf numFmtId="0" fontId="76" fillId="23" borderId="10" xfId="0" applyFont="1" applyFill="1" applyBorder="1" applyAlignment="1">
      <alignment horizontal="center"/>
    </xf>
    <xf numFmtId="0" fontId="76" fillId="23" borderId="72" xfId="0" applyFont="1" applyFill="1" applyBorder="1" applyAlignment="1">
      <alignment horizontal="center"/>
    </xf>
    <xf numFmtId="0" fontId="76" fillId="6" borderId="9" xfId="0" applyFont="1" applyFill="1" applyBorder="1" applyAlignment="1">
      <alignment horizontal="center"/>
    </xf>
    <xf numFmtId="0" fontId="76" fillId="6" borderId="183" xfId="0" applyFont="1" applyFill="1" applyBorder="1" applyAlignment="1">
      <alignment horizontal="center"/>
    </xf>
    <xf numFmtId="0" fontId="76" fillId="6" borderId="182" xfId="0" applyFont="1" applyFill="1" applyBorder="1" applyAlignment="1">
      <alignment horizontal="center"/>
    </xf>
    <xf numFmtId="0" fontId="76" fillId="6" borderId="177" xfId="0" applyFont="1" applyFill="1" applyBorder="1" applyAlignment="1">
      <alignment horizontal="center"/>
    </xf>
    <xf numFmtId="0" fontId="5" fillId="28" borderId="193" xfId="0" applyFont="1" applyFill="1" applyBorder="1" applyAlignment="1">
      <alignment horizontal="center" wrapText="1"/>
    </xf>
    <xf numFmtId="0" fontId="5" fillId="28" borderId="154" xfId="0" applyFont="1" applyFill="1" applyBorder="1" applyAlignment="1">
      <alignment horizontal="center" wrapText="1"/>
    </xf>
    <xf numFmtId="0" fontId="5" fillId="4" borderId="194" xfId="0" applyFont="1" applyFill="1" applyBorder="1" applyAlignment="1">
      <alignment horizontal="right" vertical="center" wrapText="1"/>
    </xf>
    <xf numFmtId="0" fontId="5" fillId="4" borderId="195" xfId="0" applyFont="1" applyFill="1" applyBorder="1" applyAlignment="1">
      <alignment horizontal="right" vertical="center" wrapText="1"/>
    </xf>
    <xf numFmtId="0" fontId="5" fillId="4" borderId="181" xfId="0" applyFont="1" applyFill="1" applyBorder="1" applyAlignment="1">
      <alignment horizontal="right" vertical="center" wrapText="1"/>
    </xf>
    <xf numFmtId="0" fontId="5" fillId="4" borderId="182" xfId="0" applyFont="1" applyFill="1" applyBorder="1" applyAlignment="1">
      <alignment horizontal="right" vertical="center" wrapText="1"/>
    </xf>
    <xf numFmtId="0" fontId="5" fillId="4" borderId="177" xfId="0" applyFont="1" applyFill="1" applyBorder="1" applyAlignment="1">
      <alignment horizontal="right" vertical="center" wrapText="1"/>
    </xf>
    <xf numFmtId="0" fontId="76" fillId="6" borderId="11" xfId="0" applyFont="1" applyFill="1" applyBorder="1" applyAlignment="1">
      <alignment horizontal="center" wrapText="1"/>
    </xf>
    <xf numFmtId="0" fontId="76" fillId="6" borderId="0" xfId="0" applyFont="1" applyFill="1" applyAlignment="1">
      <alignment horizontal="center" wrapText="1"/>
    </xf>
    <xf numFmtId="0" fontId="76" fillId="6" borderId="73" xfId="0" applyFont="1" applyFill="1" applyBorder="1" applyAlignment="1">
      <alignment horizontal="center" wrapText="1"/>
    </xf>
    <xf numFmtId="0" fontId="5" fillId="28" borderId="11" xfId="0" applyFont="1" applyFill="1" applyBorder="1" applyAlignment="1">
      <alignment horizontal="center" wrapText="1"/>
    </xf>
    <xf numFmtId="0" fontId="5" fillId="28" borderId="0" xfId="0" applyFont="1" applyFill="1" applyAlignment="1">
      <alignment horizontal="center" wrapText="1"/>
    </xf>
    <xf numFmtId="0" fontId="5" fillId="4" borderId="176" xfId="0" applyFont="1" applyFill="1" applyBorder="1" applyAlignment="1">
      <alignment horizontal="center"/>
    </xf>
    <xf numFmtId="0" fontId="5" fillId="4" borderId="9" xfId="0" applyFont="1" applyFill="1" applyBorder="1" applyAlignment="1">
      <alignment horizontal="center"/>
    </xf>
    <xf numFmtId="0" fontId="36" fillId="4" borderId="9" xfId="0" applyFont="1" applyFill="1" applyBorder="1" applyAlignment="1">
      <alignment horizontal="center"/>
    </xf>
    <xf numFmtId="0" fontId="5" fillId="4" borderId="178" xfId="0" applyFont="1" applyFill="1" applyBorder="1" applyAlignment="1">
      <alignment horizontal="center"/>
    </xf>
    <xf numFmtId="0" fontId="5" fillId="4" borderId="153" xfId="0" applyFont="1" applyFill="1" applyBorder="1" applyAlignment="1">
      <alignment horizontal="center"/>
    </xf>
    <xf numFmtId="0" fontId="36" fillId="4" borderId="153" xfId="0" applyFont="1" applyFill="1" applyBorder="1" applyAlignment="1">
      <alignment horizontal="center"/>
    </xf>
    <xf numFmtId="0" fontId="5" fillId="4" borderId="186" xfId="0" applyFont="1" applyFill="1" applyBorder="1" applyAlignment="1">
      <alignment horizontal="center" vertical="center"/>
    </xf>
    <xf numFmtId="0" fontId="5" fillId="4" borderId="181" xfId="0" applyFont="1" applyFill="1" applyBorder="1" applyAlignment="1">
      <alignment horizontal="center"/>
    </xf>
    <xf numFmtId="0" fontId="36" fillId="4" borderId="183" xfId="0" applyFont="1" applyFill="1" applyBorder="1" applyAlignment="1">
      <alignment horizontal="center"/>
    </xf>
    <xf numFmtId="0" fontId="36" fillId="4" borderId="177" xfId="0" applyFont="1" applyFill="1" applyBorder="1" applyAlignment="1">
      <alignment horizontal="center"/>
    </xf>
    <xf numFmtId="0" fontId="28" fillId="4" borderId="183" xfId="0" applyFont="1" applyFill="1" applyBorder="1" applyAlignment="1">
      <alignment horizontal="center"/>
    </xf>
    <xf numFmtId="0" fontId="28" fillId="4" borderId="177" xfId="0" applyFont="1" applyFill="1" applyBorder="1" applyAlignment="1">
      <alignment horizontal="center"/>
    </xf>
    <xf numFmtId="0" fontId="35" fillId="4" borderId="9" xfId="0" applyFont="1" applyFill="1" applyBorder="1" applyAlignment="1">
      <alignment horizontal="center"/>
    </xf>
    <xf numFmtId="0" fontId="35" fillId="4" borderId="183" xfId="0" applyFont="1" applyFill="1" applyBorder="1" applyAlignment="1">
      <alignment horizontal="center"/>
    </xf>
    <xf numFmtId="0" fontId="35" fillId="4" borderId="0" xfId="0" applyFont="1" applyFill="1" applyAlignment="1">
      <alignment horizontal="center"/>
    </xf>
    <xf numFmtId="0" fontId="76" fillId="23" borderId="189" xfId="0" applyFont="1" applyFill="1" applyBorder="1" applyAlignment="1">
      <alignment horizontal="center"/>
    </xf>
    <xf numFmtId="0" fontId="76" fillId="23" borderId="190" xfId="0" applyFont="1" applyFill="1" applyBorder="1" applyAlignment="1">
      <alignment horizontal="center"/>
    </xf>
    <xf numFmtId="0" fontId="76" fillId="23" borderId="191" xfId="0" applyFont="1" applyFill="1" applyBorder="1" applyAlignment="1">
      <alignment horizontal="center"/>
    </xf>
    <xf numFmtId="0" fontId="76" fillId="6" borderId="181" xfId="0" applyFont="1" applyFill="1" applyBorder="1" applyAlignment="1">
      <alignment horizontal="center"/>
    </xf>
    <xf numFmtId="0" fontId="76" fillId="6" borderId="192" xfId="0" applyFont="1" applyFill="1" applyBorder="1" applyAlignment="1">
      <alignment horizontal="center"/>
    </xf>
    <xf numFmtId="0" fontId="35" fillId="4" borderId="9" xfId="0" applyFont="1" applyFill="1" applyBorder="1" applyAlignment="1">
      <alignment horizontal="right"/>
    </xf>
    <xf numFmtId="0" fontId="35" fillId="4" borderId="183" xfId="0" applyFont="1" applyFill="1" applyBorder="1" applyAlignment="1">
      <alignment horizontal="right"/>
    </xf>
    <xf numFmtId="0" fontId="35" fillId="6" borderId="9" xfId="0" applyFont="1" applyFill="1" applyBorder="1" applyAlignment="1">
      <alignment horizontal="center"/>
    </xf>
    <xf numFmtId="0" fontId="35" fillId="6" borderId="183" xfId="0" applyFont="1" applyFill="1" applyBorder="1" applyAlignment="1">
      <alignment horizontal="center"/>
    </xf>
    <xf numFmtId="0" fontId="35" fillId="4" borderId="9" xfId="0" applyFont="1" applyFill="1" applyBorder="1" applyAlignment="1">
      <alignment horizontal="right" vertical="center" wrapText="1"/>
    </xf>
    <xf numFmtId="0" fontId="35" fillId="4" borderId="183" xfId="0" applyFont="1" applyFill="1" applyBorder="1" applyAlignment="1">
      <alignment horizontal="right" vertical="center" wrapText="1"/>
    </xf>
    <xf numFmtId="0" fontId="35" fillId="26" borderId="9" xfId="0" applyFont="1" applyFill="1" applyBorder="1" applyAlignment="1">
      <alignment horizontal="right"/>
    </xf>
    <xf numFmtId="0" fontId="35" fillId="26" borderId="183" xfId="0" applyFont="1" applyFill="1" applyBorder="1" applyAlignment="1">
      <alignment horizontal="right"/>
    </xf>
    <xf numFmtId="0" fontId="35" fillId="26" borderId="9" xfId="0" applyFont="1" applyFill="1" applyBorder="1" applyAlignment="1">
      <alignment horizontal="right" vertical="center" wrapText="1"/>
    </xf>
    <xf numFmtId="0" fontId="35" fillId="26" borderId="183" xfId="0" applyFont="1" applyFill="1" applyBorder="1" applyAlignment="1">
      <alignment horizontal="right" vertical="center" wrapText="1"/>
    </xf>
    <xf numFmtId="0" fontId="21" fillId="23" borderId="3" xfId="0" applyFont="1" applyFill="1" applyBorder="1" applyAlignment="1">
      <alignment horizontal="center"/>
    </xf>
    <xf numFmtId="0" fontId="21" fillId="23" borderId="6" xfId="0" applyFont="1" applyFill="1" applyBorder="1" applyAlignment="1">
      <alignment horizontal="center"/>
    </xf>
    <xf numFmtId="0" fontId="21" fillId="23" borderId="72" xfId="0" applyFont="1" applyFill="1" applyBorder="1" applyAlignment="1">
      <alignment horizontal="center"/>
    </xf>
    <xf numFmtId="0" fontId="35" fillId="9" borderId="183" xfId="0" applyFont="1" applyFill="1" applyBorder="1" applyAlignment="1">
      <alignment horizontal="center" vertical="center"/>
    </xf>
    <xf numFmtId="0" fontId="35" fillId="9" borderId="182" xfId="0" applyFont="1" applyFill="1" applyBorder="1" applyAlignment="1">
      <alignment horizontal="center" vertical="center"/>
    </xf>
    <xf numFmtId="0" fontId="35" fillId="9" borderId="177" xfId="0" applyFont="1" applyFill="1" applyBorder="1" applyAlignment="1">
      <alignment horizontal="center" vertical="center"/>
    </xf>
    <xf numFmtId="0" fontId="35" fillId="9" borderId="187" xfId="0" applyFont="1" applyFill="1" applyBorder="1" applyAlignment="1">
      <alignment horizontal="center"/>
    </xf>
    <xf numFmtId="0" fontId="35" fillId="9" borderId="154" xfId="0" applyFont="1" applyFill="1" applyBorder="1" applyAlignment="1">
      <alignment horizontal="center"/>
    </xf>
    <xf numFmtId="0" fontId="35" fillId="9" borderId="9" xfId="0" applyFont="1" applyFill="1" applyBorder="1" applyAlignment="1">
      <alignment horizontal="center" vertical="center"/>
    </xf>
    <xf numFmtId="0" fontId="5" fillId="28" borderId="181" xfId="0" applyFont="1" applyFill="1" applyBorder="1" applyAlignment="1">
      <alignment horizontal="center" vertical="center"/>
    </xf>
    <xf numFmtId="0" fontId="5" fillId="28" borderId="182" xfId="0" applyFont="1" applyFill="1" applyBorder="1" applyAlignment="1">
      <alignment horizontal="center" vertical="center"/>
    </xf>
    <xf numFmtId="0" fontId="5" fillId="28" borderId="177" xfId="0" applyFont="1" applyFill="1" applyBorder="1" applyAlignment="1">
      <alignment horizontal="center" vertical="center"/>
    </xf>
    <xf numFmtId="0" fontId="5" fillId="4" borderId="181" xfId="0" applyFont="1" applyFill="1" applyBorder="1" applyAlignment="1">
      <alignment horizontal="center" vertical="center" wrapText="1"/>
    </xf>
    <xf numFmtId="0" fontId="5" fillId="4" borderId="182" xfId="0" applyFont="1" applyFill="1" applyBorder="1" applyAlignment="1">
      <alignment horizontal="center" vertical="center" wrapText="1"/>
    </xf>
    <xf numFmtId="0" fontId="5" fillId="4" borderId="177" xfId="0" applyFont="1" applyFill="1" applyBorder="1" applyAlignment="1">
      <alignment horizontal="center" vertical="center" wrapText="1"/>
    </xf>
    <xf numFmtId="0" fontId="17" fillId="6" borderId="184" xfId="0" applyFont="1" applyFill="1" applyBorder="1" applyAlignment="1">
      <alignment horizontal="center"/>
    </xf>
    <xf numFmtId="0" fontId="17" fillId="6" borderId="185" xfId="0" applyFont="1" applyFill="1" applyBorder="1" applyAlignment="1">
      <alignment horizontal="center"/>
    </xf>
    <xf numFmtId="0" fontId="17" fillId="6" borderId="186" xfId="0" applyFont="1" applyFill="1" applyBorder="1" applyAlignment="1">
      <alignment horizontal="center"/>
    </xf>
    <xf numFmtId="0" fontId="5" fillId="2" borderId="11" xfId="0" applyFont="1" applyFill="1" applyBorder="1" applyAlignment="1">
      <alignment horizontal="center" vertical="top"/>
    </xf>
    <xf numFmtId="0" fontId="5" fillId="2" borderId="0" xfId="0" applyFont="1" applyFill="1" applyAlignment="1">
      <alignment horizontal="center" vertical="top"/>
    </xf>
    <xf numFmtId="0" fontId="5" fillId="2" borderId="73" xfId="0" applyFont="1" applyFill="1" applyBorder="1" applyAlignment="1">
      <alignment horizontal="center" vertical="top"/>
    </xf>
    <xf numFmtId="0" fontId="5" fillId="2" borderId="1" xfId="0" applyFont="1" applyFill="1" applyBorder="1" applyAlignment="1">
      <alignment horizontal="center" vertical="top"/>
    </xf>
    <xf numFmtId="0" fontId="5" fillId="2" borderId="12" xfId="0" applyFont="1" applyFill="1" applyBorder="1" applyAlignment="1">
      <alignment horizontal="center" vertical="top"/>
    </xf>
    <xf numFmtId="0" fontId="5" fillId="2" borderId="2" xfId="0" applyFont="1" applyFill="1" applyBorder="1" applyAlignment="1">
      <alignment horizontal="center" vertical="top"/>
    </xf>
    <xf numFmtId="0" fontId="86" fillId="27" borderId="7" xfId="0" applyFont="1" applyFill="1" applyBorder="1" applyAlignment="1">
      <alignment horizontal="left"/>
    </xf>
    <xf numFmtId="0" fontId="86" fillId="27" borderId="0" xfId="0" applyFont="1" applyFill="1" applyAlignment="1">
      <alignment horizontal="left"/>
    </xf>
    <xf numFmtId="0" fontId="21" fillId="23" borderId="71" xfId="0" applyFont="1" applyFill="1" applyBorder="1" applyAlignment="1">
      <alignment horizontal="center" vertical="center"/>
    </xf>
    <xf numFmtId="0" fontId="21" fillId="23" borderId="10" xfId="0" applyFont="1" applyFill="1" applyBorder="1" applyAlignment="1">
      <alignment horizontal="center" vertical="center"/>
    </xf>
    <xf numFmtId="0" fontId="21" fillId="23" borderId="72" xfId="0" applyFont="1" applyFill="1" applyBorder="1" applyAlignment="1">
      <alignment horizontal="center" vertical="center"/>
    </xf>
    <xf numFmtId="0" fontId="17" fillId="6" borderId="11"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6" borderId="73" xfId="0" applyFont="1" applyFill="1" applyBorder="1" applyAlignment="1">
      <alignment horizontal="center" vertical="center" wrapText="1"/>
    </xf>
    <xf numFmtId="0" fontId="79" fillId="25" borderId="7" xfId="0" applyFont="1" applyFill="1" applyBorder="1" applyAlignment="1">
      <alignment horizontal="center" vertical="center"/>
    </xf>
    <xf numFmtId="0" fontId="79" fillId="25" borderId="0" xfId="0" applyFont="1" applyFill="1" applyAlignment="1">
      <alignment horizontal="center" vertical="center"/>
    </xf>
    <xf numFmtId="0" fontId="4" fillId="2" borderId="0" xfId="0" applyFont="1" applyFill="1" applyAlignment="1">
      <alignment horizontal="center" vertical="top" wrapText="1"/>
    </xf>
    <xf numFmtId="0" fontId="5" fillId="0" borderId="183"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177" xfId="0" applyFont="1" applyBorder="1" applyAlignment="1">
      <alignment horizontal="center" vertical="center" wrapText="1"/>
    </xf>
    <xf numFmtId="0" fontId="5" fillId="2" borderId="12" xfId="0" applyFont="1" applyFill="1" applyBorder="1" applyAlignment="1">
      <alignment horizontal="center" vertical="center" wrapText="1"/>
    </xf>
    <xf numFmtId="0" fontId="17" fillId="6" borderId="11" xfId="0" applyFont="1" applyFill="1" applyBorder="1" applyAlignment="1">
      <alignment horizontal="center" vertical="center"/>
    </xf>
    <xf numFmtId="0" fontId="17" fillId="6" borderId="0" xfId="0" applyFont="1" applyFill="1" applyAlignment="1">
      <alignment horizontal="center" vertical="center"/>
    </xf>
    <xf numFmtId="0" fontId="17" fillId="6" borderId="73" xfId="0" applyFont="1" applyFill="1" applyBorder="1" applyAlignment="1">
      <alignment horizontal="center" vertical="center"/>
    </xf>
    <xf numFmtId="0" fontId="5" fillId="8" borderId="183" xfId="0" applyFont="1" applyFill="1" applyBorder="1" applyAlignment="1">
      <alignment horizontal="center" vertical="center" wrapText="1"/>
    </xf>
    <xf numFmtId="0" fontId="5" fillId="8" borderId="182" xfId="0" applyFont="1" applyFill="1" applyBorder="1" applyAlignment="1">
      <alignment horizontal="center" vertical="center" wrapText="1"/>
    </xf>
    <xf numFmtId="0" fontId="5" fillId="8" borderId="177" xfId="0" applyFont="1" applyFill="1" applyBorder="1" applyAlignment="1">
      <alignment horizontal="center" vertical="center" wrapText="1"/>
    </xf>
    <xf numFmtId="0" fontId="45" fillId="7" borderId="146" xfId="0" applyFont="1" applyFill="1" applyBorder="1" applyAlignment="1">
      <alignment horizontal="center" vertical="center" wrapText="1"/>
    </xf>
    <xf numFmtId="0" fontId="45" fillId="7" borderId="33" xfId="0" applyFont="1" applyFill="1" applyBorder="1" applyAlignment="1">
      <alignment horizontal="center" vertical="center" wrapText="1"/>
    </xf>
    <xf numFmtId="0" fontId="45" fillId="7" borderId="128" xfId="0" applyFont="1" applyFill="1" applyBorder="1" applyAlignment="1">
      <alignment horizontal="center" vertical="center" wrapText="1"/>
    </xf>
    <xf numFmtId="0" fontId="45" fillId="7" borderId="0" xfId="0" applyFont="1" applyFill="1" applyAlignment="1">
      <alignment horizontal="center" vertical="center" wrapText="1"/>
    </xf>
    <xf numFmtId="0" fontId="45" fillId="7" borderId="148" xfId="0" applyFont="1" applyFill="1" applyBorder="1" applyAlignment="1">
      <alignment horizontal="center" vertical="center" wrapText="1"/>
    </xf>
    <xf numFmtId="0" fontId="45" fillId="7" borderId="40"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60" fillId="2" borderId="0" xfId="0" applyFont="1" applyFill="1" applyAlignment="1">
      <alignment horizontal="center" vertical="center" wrapText="1"/>
    </xf>
    <xf numFmtId="0" fontId="60" fillId="2" borderId="141" xfId="0" applyFont="1" applyFill="1" applyBorder="1" applyAlignment="1">
      <alignment horizontal="center" vertical="center" wrapText="1"/>
    </xf>
    <xf numFmtId="0" fontId="60" fillId="2" borderId="151" xfId="0" applyFont="1" applyFill="1" applyBorder="1" applyAlignment="1">
      <alignment horizontal="center" vertical="center" wrapText="1"/>
    </xf>
    <xf numFmtId="0" fontId="60" fillId="2" borderId="131" xfId="0" applyFont="1" applyFill="1" applyBorder="1" applyAlignment="1">
      <alignment horizontal="center" vertical="center" wrapText="1"/>
    </xf>
    <xf numFmtId="0" fontId="60" fillId="2" borderId="132" xfId="0" applyFont="1" applyFill="1" applyBorder="1" applyAlignment="1">
      <alignment horizontal="center" vertical="center" wrapText="1"/>
    </xf>
    <xf numFmtId="0" fontId="46" fillId="7" borderId="146" xfId="0" applyFont="1" applyFill="1" applyBorder="1" applyAlignment="1">
      <alignment horizontal="center" vertical="center" wrapText="1"/>
    </xf>
    <xf numFmtId="0" fontId="46" fillId="7" borderId="33" xfId="0" applyFont="1" applyFill="1" applyBorder="1" applyAlignment="1">
      <alignment horizontal="center" vertical="center" wrapText="1"/>
    </xf>
    <xf numFmtId="0" fontId="46" fillId="7" borderId="128" xfId="0" applyFont="1" applyFill="1" applyBorder="1" applyAlignment="1">
      <alignment horizontal="center" vertical="center" wrapText="1"/>
    </xf>
    <xf numFmtId="0" fontId="46" fillId="7" borderId="0" xfId="0" applyFont="1" applyFill="1" applyAlignment="1">
      <alignment horizontal="center" vertical="center" wrapText="1"/>
    </xf>
    <xf numFmtId="0" fontId="46" fillId="7" borderId="129" xfId="0" applyFont="1" applyFill="1" applyBorder="1" applyAlignment="1">
      <alignment horizontal="center" vertical="center" wrapText="1"/>
    </xf>
    <xf numFmtId="0" fontId="46" fillId="7" borderId="131" xfId="0" applyFont="1" applyFill="1" applyBorder="1" applyAlignment="1">
      <alignment horizontal="center" vertical="center" wrapText="1"/>
    </xf>
    <xf numFmtId="0" fontId="100" fillId="2" borderId="24" xfId="0" applyFont="1" applyFill="1" applyBorder="1" applyAlignment="1">
      <alignment horizontal="center" vertical="center"/>
    </xf>
    <xf numFmtId="0" fontId="100" fillId="2" borderId="62" xfId="0" applyFont="1" applyFill="1" applyBorder="1" applyAlignment="1">
      <alignment horizontal="center" vertical="center"/>
    </xf>
    <xf numFmtId="0" fontId="100" fillId="2" borderId="111" xfId="0" applyFont="1" applyFill="1" applyBorder="1" applyAlignment="1">
      <alignment horizontal="center" vertical="center"/>
    </xf>
    <xf numFmtId="0" fontId="99" fillId="2" borderId="22" xfId="0" applyFont="1" applyFill="1" applyBorder="1" applyAlignment="1">
      <alignment horizontal="center" vertical="center"/>
    </xf>
    <xf numFmtId="0" fontId="99" fillId="2" borderId="126" xfId="0" applyFont="1" applyFill="1" applyBorder="1" applyAlignment="1">
      <alignment horizontal="center" vertical="center"/>
    </xf>
    <xf numFmtId="0" fontId="42" fillId="2" borderId="134" xfId="0" applyFont="1" applyFill="1" applyBorder="1" applyAlignment="1">
      <alignment horizontal="right"/>
    </xf>
    <xf numFmtId="0" fontId="42" fillId="2" borderId="31" xfId="0" applyFont="1" applyFill="1" applyBorder="1" applyAlignment="1">
      <alignment horizontal="right"/>
    </xf>
    <xf numFmtId="0" fontId="42" fillId="2" borderId="27" xfId="0" applyFont="1" applyFill="1" applyBorder="1" applyAlignment="1">
      <alignment horizontal="right"/>
    </xf>
    <xf numFmtId="0" fontId="42" fillId="2" borderId="112" xfId="0" applyFont="1" applyFill="1" applyBorder="1" applyAlignment="1">
      <alignment horizontal="right" vertical="center"/>
    </xf>
    <xf numFmtId="0" fontId="42" fillId="2" borderId="22" xfId="0" applyFont="1" applyFill="1" applyBorder="1" applyAlignment="1">
      <alignment horizontal="right" vertical="center"/>
    </xf>
    <xf numFmtId="0" fontId="42" fillId="2" borderId="122" xfId="0" applyFont="1" applyFill="1" applyBorder="1" applyAlignment="1">
      <alignment horizontal="right" vertical="center"/>
    </xf>
    <xf numFmtId="0" fontId="42" fillId="2" borderId="23" xfId="0" applyFont="1" applyFill="1" applyBorder="1" applyAlignment="1">
      <alignment horizontal="right" vertical="center"/>
    </xf>
    <xf numFmtId="0" fontId="12" fillId="2" borderId="22" xfId="0" applyFont="1" applyFill="1" applyBorder="1" applyAlignment="1">
      <alignment horizontal="center" vertical="center"/>
    </xf>
    <xf numFmtId="0" fontId="12" fillId="2" borderId="126" xfId="0" applyFont="1" applyFill="1" applyBorder="1" applyAlignment="1">
      <alignment horizontal="center" vertical="center"/>
    </xf>
    <xf numFmtId="0" fontId="12" fillId="2" borderId="23" xfId="0" applyFont="1" applyFill="1" applyBorder="1" applyAlignment="1">
      <alignment horizontal="center" vertical="center"/>
    </xf>
    <xf numFmtId="0" fontId="12" fillId="2" borderId="127" xfId="0" applyFont="1" applyFill="1" applyBorder="1" applyAlignment="1">
      <alignment horizontal="center" vertical="center"/>
    </xf>
    <xf numFmtId="0" fontId="75" fillId="2" borderId="135" xfId="0" applyFont="1" applyFill="1" applyBorder="1" applyAlignment="1">
      <alignment horizontal="center"/>
    </xf>
    <xf numFmtId="0" fontId="75" fillId="2" borderId="43" xfId="0" applyFont="1" applyFill="1" applyBorder="1" applyAlignment="1">
      <alignment horizontal="center"/>
    </xf>
    <xf numFmtId="0" fontId="75" fillId="2" borderId="54" xfId="0" applyFont="1" applyFill="1" applyBorder="1" applyAlignment="1">
      <alignment horizontal="center" vertical="center"/>
    </xf>
    <xf numFmtId="0" fontId="75" fillId="2" borderId="53" xfId="0" applyFont="1" applyFill="1" applyBorder="1" applyAlignment="1">
      <alignment horizontal="center" vertical="center"/>
    </xf>
    <xf numFmtId="0" fontId="12" fillId="2" borderId="8" xfId="0" applyFont="1" applyFill="1" applyBorder="1" applyAlignment="1">
      <alignment horizontal="center" vertical="center" wrapText="1"/>
    </xf>
    <xf numFmtId="0" fontId="12" fillId="2" borderId="131" xfId="0" applyFont="1" applyFill="1" applyBorder="1" applyAlignment="1">
      <alignment horizontal="center" vertical="center" wrapText="1"/>
    </xf>
    <xf numFmtId="0" fontId="12" fillId="2" borderId="143"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61" fillId="0" borderId="7" xfId="0" applyFont="1" applyBorder="1" applyAlignment="1">
      <alignment horizontal="center" vertical="center"/>
    </xf>
    <xf numFmtId="0" fontId="61" fillId="0" borderId="0" xfId="0" applyFont="1" applyAlignment="1">
      <alignment horizontal="center" vertical="center"/>
    </xf>
    <xf numFmtId="0" fontId="81" fillId="26" borderId="0" xfId="0" applyFont="1" applyFill="1" applyAlignment="1">
      <alignment horizontal="left" vertical="center" wrapText="1"/>
    </xf>
    <xf numFmtId="0" fontId="75" fillId="2" borderId="55" xfId="0" applyFont="1" applyFill="1" applyBorder="1" applyAlignment="1">
      <alignment horizontal="center" vertical="center"/>
    </xf>
    <xf numFmtId="0" fontId="42" fillId="2" borderId="137" xfId="0" applyFont="1" applyFill="1" applyBorder="1" applyAlignment="1">
      <alignment horizontal="right"/>
    </xf>
    <xf numFmtId="0" fontId="42" fillId="2" borderId="28" xfId="0" applyFont="1" applyFill="1" applyBorder="1" applyAlignment="1">
      <alignment horizontal="right"/>
    </xf>
    <xf numFmtId="0" fontId="75" fillId="2" borderId="135" xfId="0" applyFont="1" applyFill="1" applyBorder="1" applyAlignment="1">
      <alignment horizontal="center" vertical="center" wrapText="1"/>
    </xf>
    <xf numFmtId="0" fontId="75" fillId="2" borderId="43" xfId="0" applyFont="1" applyFill="1" applyBorder="1" applyAlignment="1">
      <alignment horizontal="center" vertical="center" wrapText="1"/>
    </xf>
    <xf numFmtId="0" fontId="75" fillId="2" borderId="142" xfId="0" applyFont="1" applyFill="1" applyBorder="1" applyAlignment="1">
      <alignment horizontal="center" vertical="center" wrapText="1"/>
    </xf>
    <xf numFmtId="0" fontId="96" fillId="2" borderId="116" xfId="0" applyFont="1" applyFill="1" applyBorder="1" applyAlignment="1">
      <alignment horizontal="center"/>
    </xf>
    <xf numFmtId="0" fontId="96" fillId="2" borderId="117" xfId="0" applyFont="1" applyFill="1" applyBorder="1" applyAlignment="1">
      <alignment horizontal="center"/>
    </xf>
    <xf numFmtId="0" fontId="96" fillId="2" borderId="118" xfId="0" applyFont="1" applyFill="1" applyBorder="1" applyAlignment="1">
      <alignment horizontal="center"/>
    </xf>
    <xf numFmtId="0" fontId="42" fillId="2" borderId="119" xfId="0" applyFont="1" applyFill="1" applyBorder="1" applyAlignment="1">
      <alignment horizontal="right"/>
    </xf>
    <xf numFmtId="0" fontId="42" fillId="2" borderId="120" xfId="0" applyFont="1" applyFill="1" applyBorder="1" applyAlignment="1">
      <alignment horizontal="right"/>
    </xf>
    <xf numFmtId="0" fontId="64" fillId="2" borderId="120" xfId="0" applyFont="1" applyFill="1" applyBorder="1" applyAlignment="1">
      <alignment horizontal="center"/>
    </xf>
    <xf numFmtId="0" fontId="64" fillId="2" borderId="133" xfId="0" applyFont="1" applyFill="1" applyBorder="1" applyAlignment="1">
      <alignment horizontal="center"/>
    </xf>
    <xf numFmtId="0" fontId="4" fillId="2" borderId="37" xfId="0" applyFont="1" applyFill="1" applyBorder="1" applyAlignment="1">
      <alignment horizontal="center" wrapText="1"/>
    </xf>
    <xf numFmtId="0" fontId="183" fillId="2" borderId="65" xfId="0" applyFont="1" applyFill="1" applyBorder="1" applyAlignment="1">
      <alignment horizontal="right"/>
    </xf>
    <xf numFmtId="0" fontId="183" fillId="2" borderId="62" xfId="0" applyFont="1" applyFill="1" applyBorder="1" applyAlignment="1">
      <alignment horizontal="right"/>
    </xf>
    <xf numFmtId="0" fontId="183" fillId="2" borderId="63" xfId="0" applyFont="1" applyFill="1" applyBorder="1" applyAlignment="1">
      <alignment horizontal="right"/>
    </xf>
    <xf numFmtId="0" fontId="201" fillId="7" borderId="43" xfId="0" applyFont="1" applyFill="1" applyBorder="1" applyAlignment="1">
      <alignment horizontal="left" vertical="center" wrapText="1"/>
    </xf>
    <xf numFmtId="0" fontId="201" fillId="7" borderId="43" xfId="0" applyFont="1" applyFill="1" applyBorder="1" applyAlignment="1">
      <alignment horizontal="left" vertical="center"/>
    </xf>
    <xf numFmtId="0" fontId="203" fillId="2" borderId="42" xfId="0" applyFont="1" applyFill="1" applyBorder="1" applyAlignment="1">
      <alignment horizontal="center"/>
    </xf>
    <xf numFmtId="0" fontId="203" fillId="2" borderId="43" xfId="0" applyFont="1" applyFill="1" applyBorder="1" applyAlignment="1">
      <alignment horizontal="center"/>
    </xf>
    <xf numFmtId="0" fontId="203" fillId="2" borderId="44" xfId="0" applyFont="1" applyFill="1" applyBorder="1" applyAlignment="1">
      <alignment horizontal="center"/>
    </xf>
    <xf numFmtId="0" fontId="151" fillId="63" borderId="31" xfId="0" applyFont="1" applyFill="1" applyBorder="1" applyAlignment="1">
      <alignment horizontal="center" vertical="center" wrapText="1"/>
    </xf>
    <xf numFmtId="0" fontId="151" fillId="63" borderId="358" xfId="0" applyFont="1" applyFill="1" applyBorder="1" applyAlignment="1">
      <alignment horizontal="center" vertical="center" wrapText="1"/>
    </xf>
    <xf numFmtId="0" fontId="151" fillId="63" borderId="306" xfId="0" applyFont="1" applyFill="1" applyBorder="1" applyAlignment="1">
      <alignment horizontal="center" vertical="center" wrapText="1"/>
    </xf>
    <xf numFmtId="0" fontId="151" fillId="63" borderId="333" xfId="0" applyFont="1" applyFill="1" applyBorder="1" applyAlignment="1">
      <alignment horizontal="center" vertical="center" wrapText="1"/>
    </xf>
    <xf numFmtId="0" fontId="76" fillId="6" borderId="43" xfId="0" applyFont="1" applyFill="1" applyBorder="1" applyAlignment="1">
      <alignment horizontal="center" vertical="center" wrapText="1"/>
    </xf>
    <xf numFmtId="0" fontId="76" fillId="6" borderId="44" xfId="0" applyFont="1" applyFill="1" applyBorder="1" applyAlignment="1">
      <alignment horizontal="center" vertical="center" wrapText="1"/>
    </xf>
    <xf numFmtId="0" fontId="76" fillId="6" borderId="42" xfId="0" applyFont="1" applyFill="1" applyBorder="1" applyAlignment="1">
      <alignment horizontal="center" vertical="center" wrapText="1"/>
    </xf>
    <xf numFmtId="0" fontId="183" fillId="2" borderId="50" xfId="0" applyFont="1" applyFill="1" applyBorder="1" applyAlignment="1">
      <alignment horizontal="right"/>
    </xf>
    <xf numFmtId="0" fontId="183" fillId="2" borderId="28" xfId="0" applyFont="1" applyFill="1" applyBorder="1" applyAlignment="1">
      <alignment horizontal="right"/>
    </xf>
    <xf numFmtId="0" fontId="39" fillId="2" borderId="28" xfId="0" applyFont="1" applyFill="1" applyBorder="1" applyAlignment="1">
      <alignment horizontal="center"/>
    </xf>
    <xf numFmtId="0" fontId="39" fillId="2" borderId="49" xfId="0" applyFont="1" applyFill="1" applyBorder="1" applyAlignment="1">
      <alignment horizontal="center"/>
    </xf>
    <xf numFmtId="0" fontId="183" fillId="2" borderId="35" xfId="0" applyFont="1" applyFill="1" applyBorder="1" applyAlignment="1">
      <alignment horizontal="right"/>
    </xf>
    <xf numFmtId="0" fontId="183" fillId="2" borderId="22" xfId="0" applyFont="1" applyFill="1" applyBorder="1" applyAlignment="1">
      <alignment horizontal="right"/>
    </xf>
    <xf numFmtId="0" fontId="164" fillId="2" borderId="348" xfId="0" applyFont="1" applyFill="1" applyBorder="1" applyAlignment="1">
      <alignment horizontal="center"/>
    </xf>
    <xf numFmtId="0" fontId="164" fillId="2" borderId="51" xfId="0" applyFont="1" applyFill="1" applyBorder="1" applyAlignment="1">
      <alignment horizontal="center"/>
    </xf>
    <xf numFmtId="0" fontId="164" fillId="2" borderId="51" xfId="0" applyFont="1" applyFill="1" applyBorder="1" applyAlignment="1">
      <alignment horizontal="center" vertical="center"/>
    </xf>
    <xf numFmtId="0" fontId="175" fillId="7" borderId="22" xfId="0" applyFont="1" applyFill="1" applyBorder="1" applyAlignment="1">
      <alignment horizontal="center" vertical="center"/>
    </xf>
    <xf numFmtId="0" fontId="175" fillId="7" borderId="36" xfId="0" applyFont="1" applyFill="1" applyBorder="1" applyAlignment="1">
      <alignment horizontal="center" vertical="center"/>
    </xf>
    <xf numFmtId="0" fontId="183" fillId="2" borderId="45" xfId="0" applyFont="1" applyFill="1" applyBorder="1" applyAlignment="1">
      <alignment horizontal="right"/>
    </xf>
    <xf numFmtId="0" fontId="183" fillId="2" borderId="23" xfId="0" applyFont="1" applyFill="1" applyBorder="1" applyAlignment="1">
      <alignment horizontal="right"/>
    </xf>
    <xf numFmtId="0" fontId="43" fillId="2" borderId="22" xfId="0" applyFont="1" applyFill="1" applyBorder="1" applyAlignment="1">
      <alignment horizontal="center"/>
    </xf>
    <xf numFmtId="0" fontId="164" fillId="2" borderId="32" xfId="0" applyFont="1" applyFill="1" applyBorder="1" applyAlignment="1">
      <alignment horizontal="center" vertical="center" wrapText="1"/>
    </xf>
    <xf numFmtId="0" fontId="164" fillId="2" borderId="33" xfId="0" applyFont="1" applyFill="1" applyBorder="1" applyAlignment="1">
      <alignment horizontal="center" vertical="center" wrapText="1"/>
    </xf>
    <xf numFmtId="0" fontId="164" fillId="2" borderId="34" xfId="0" applyFont="1" applyFill="1" applyBorder="1" applyAlignment="1">
      <alignment horizontal="center" vertical="center" wrapText="1"/>
    </xf>
    <xf numFmtId="0" fontId="45" fillId="2" borderId="42" xfId="0" applyFont="1" applyFill="1" applyBorder="1" applyAlignment="1">
      <alignment horizontal="center"/>
    </xf>
    <xf numFmtId="0" fontId="45" fillId="2" borderId="43" xfId="0" applyFont="1" applyFill="1" applyBorder="1" applyAlignment="1">
      <alignment horizontal="center"/>
    </xf>
    <xf numFmtId="0" fontId="45" fillId="2" borderId="44" xfId="0" applyFont="1" applyFill="1" applyBorder="1" applyAlignment="1">
      <alignment horizontal="center"/>
    </xf>
    <xf numFmtId="0" fontId="80" fillId="26" borderId="0" xfId="0" applyFont="1" applyFill="1" applyAlignment="1">
      <alignment horizontal="left" vertical="center" wrapText="1"/>
    </xf>
    <xf numFmtId="0" fontId="45" fillId="2" borderId="116" xfId="0" applyFont="1" applyFill="1" applyBorder="1" applyAlignment="1">
      <alignment horizontal="center" vertical="center" wrapText="1"/>
    </xf>
    <xf numFmtId="0" fontId="45" fillId="2" borderId="117" xfId="0" applyFont="1" applyFill="1" applyBorder="1" applyAlignment="1">
      <alignment horizontal="center" vertical="center" wrapText="1"/>
    </xf>
    <xf numFmtId="0" fontId="45" fillId="2" borderId="118" xfId="0" applyFont="1" applyFill="1" applyBorder="1" applyAlignment="1">
      <alignment horizontal="center" vertical="center" wrapText="1"/>
    </xf>
    <xf numFmtId="0" fontId="45" fillId="2" borderId="116" xfId="0" applyFont="1" applyFill="1" applyBorder="1" applyAlignment="1">
      <alignment horizontal="center"/>
    </xf>
    <xf numFmtId="0" fontId="45" fillId="2" borderId="117" xfId="0" applyFont="1" applyFill="1" applyBorder="1" applyAlignment="1">
      <alignment horizontal="center"/>
    </xf>
    <xf numFmtId="0" fontId="45" fillId="2" borderId="118" xfId="0" applyFont="1" applyFill="1" applyBorder="1" applyAlignment="1">
      <alignment horizontal="center"/>
    </xf>
    <xf numFmtId="0" fontId="43" fillId="2" borderId="28" xfId="0" applyFont="1" applyFill="1" applyBorder="1" applyAlignment="1">
      <alignment horizontal="center"/>
    </xf>
    <xf numFmtId="0" fontId="43" fillId="2" borderId="43" xfId="0" applyFont="1" applyFill="1" applyBorder="1" applyAlignment="1">
      <alignment horizontal="center" vertical="center" wrapText="1"/>
    </xf>
    <xf numFmtId="0" fontId="45" fillId="2" borderId="209" xfId="0" applyFont="1" applyFill="1" applyBorder="1" applyAlignment="1">
      <alignment horizontal="center"/>
    </xf>
    <xf numFmtId="0" fontId="45" fillId="2" borderId="210" xfId="0" applyFont="1" applyFill="1" applyBorder="1" applyAlignment="1">
      <alignment horizontal="center"/>
    </xf>
    <xf numFmtId="0" fontId="43" fillId="2" borderId="46" xfId="0" applyFont="1" applyFill="1" applyBorder="1" applyAlignment="1">
      <alignment horizontal="center"/>
    </xf>
    <xf numFmtId="0" fontId="164" fillId="2" borderId="348" xfId="0" applyFont="1" applyFill="1" applyBorder="1" applyAlignment="1">
      <alignment horizontal="center" vertical="center"/>
    </xf>
    <xf numFmtId="0" fontId="164" fillId="2" borderId="349" xfId="0" applyFont="1" applyFill="1" applyBorder="1" applyAlignment="1">
      <alignment horizontal="center" vertical="center"/>
    </xf>
    <xf numFmtId="0" fontId="43" fillId="2" borderId="40" xfId="0" applyFont="1" applyFill="1" applyBorder="1" applyAlignment="1">
      <alignment horizontal="center" vertical="center" wrapText="1"/>
    </xf>
    <xf numFmtId="0" fontId="5" fillId="0" borderId="22" xfId="0" applyFont="1" applyBorder="1" applyAlignment="1">
      <alignment horizontal="center" vertical="center" wrapText="1"/>
    </xf>
    <xf numFmtId="0" fontId="187" fillId="64" borderId="28" xfId="0" applyFont="1" applyFill="1" applyBorder="1" applyAlignment="1">
      <alignment horizontal="center" vertical="center" wrapText="1"/>
    </xf>
    <xf numFmtId="0" fontId="167" fillId="2" borderId="334" xfId="0" applyFont="1" applyFill="1" applyBorder="1" applyAlignment="1">
      <alignment horizontal="left" vertical="center" wrapText="1"/>
    </xf>
    <xf numFmtId="0" fontId="167" fillId="2" borderId="337" xfId="0" applyFont="1" applyFill="1" applyBorder="1" applyAlignment="1">
      <alignment horizontal="left" vertical="center" wrapText="1"/>
    </xf>
    <xf numFmtId="0" fontId="164" fillId="11" borderId="129" xfId="0" applyFont="1" applyFill="1" applyBorder="1" applyAlignment="1">
      <alignment horizontal="center"/>
    </xf>
    <xf numFmtId="0" fontId="164" fillId="11" borderId="131" xfId="0" applyFont="1" applyFill="1" applyBorder="1" applyAlignment="1">
      <alignment horizontal="center"/>
    </xf>
    <xf numFmtId="0" fontId="5" fillId="0" borderId="46" xfId="0" applyFont="1" applyBorder="1" applyAlignment="1">
      <alignment horizontal="center" vertical="center" wrapText="1"/>
    </xf>
    <xf numFmtId="0" fontId="182" fillId="65" borderId="35" xfId="0" applyFont="1" applyFill="1" applyBorder="1" applyAlignment="1">
      <alignment horizontal="right" vertical="center" wrapText="1"/>
    </xf>
    <xf numFmtId="0" fontId="182" fillId="65" borderId="22" xfId="0" applyFont="1" applyFill="1" applyBorder="1" applyAlignment="1">
      <alignment horizontal="right" vertical="center" wrapText="1"/>
    </xf>
    <xf numFmtId="0" fontId="182" fillId="65" borderId="65" xfId="0" applyFont="1" applyFill="1" applyBorder="1" applyAlignment="1">
      <alignment horizontal="right" vertical="center" wrapText="1"/>
    </xf>
    <xf numFmtId="0" fontId="182" fillId="65" borderId="62" xfId="0" applyFont="1" applyFill="1" applyBorder="1" applyAlignment="1">
      <alignment horizontal="right" vertical="center" wrapText="1"/>
    </xf>
    <xf numFmtId="0" fontId="182" fillId="65" borderId="304" xfId="0" applyFont="1" applyFill="1" applyBorder="1" applyAlignment="1">
      <alignment horizontal="right" vertical="center" wrapText="1"/>
    </xf>
    <xf numFmtId="0" fontId="181" fillId="63" borderId="35" xfId="0" applyFont="1" applyFill="1" applyBorder="1" applyAlignment="1">
      <alignment horizontal="right" vertical="center" wrapText="1"/>
    </xf>
    <xf numFmtId="0" fontId="181" fillId="63" borderId="22" xfId="0" applyFont="1" applyFill="1" applyBorder="1" applyAlignment="1">
      <alignment horizontal="right" vertical="center" wrapText="1"/>
    </xf>
    <xf numFmtId="0" fontId="5" fillId="11" borderId="0" xfId="0" applyFont="1" applyFill="1" applyAlignment="1">
      <alignment horizontal="center" vertical="center" wrapText="1"/>
    </xf>
    <xf numFmtId="0" fontId="43" fillId="14" borderId="57" xfId="0" applyFont="1" applyFill="1" applyBorder="1" applyAlignment="1">
      <alignment horizontal="center"/>
    </xf>
    <xf numFmtId="0" fontId="43" fillId="14" borderId="31" xfId="0" applyFont="1" applyFill="1" applyBorder="1" applyAlignment="1">
      <alignment horizontal="center"/>
    </xf>
    <xf numFmtId="0" fontId="43" fillId="14" borderId="27" xfId="0" applyFont="1" applyFill="1" applyBorder="1" applyAlignment="1">
      <alignment horizontal="center"/>
    </xf>
    <xf numFmtId="0" fontId="60" fillId="14" borderId="26" xfId="0" applyFont="1" applyFill="1" applyBorder="1" applyAlignment="1">
      <alignment horizontal="center"/>
    </xf>
    <xf numFmtId="0" fontId="60" fillId="14" borderId="31" xfId="0" applyFont="1" applyFill="1" applyBorder="1" applyAlignment="1">
      <alignment horizontal="center"/>
    </xf>
    <xf numFmtId="0" fontId="60" fillId="14" borderId="38" xfId="0" applyFont="1" applyFill="1" applyBorder="1" applyAlignment="1">
      <alignment horizontal="center"/>
    </xf>
    <xf numFmtId="0" fontId="181" fillId="63" borderId="65" xfId="0" applyFont="1" applyFill="1" applyBorder="1" applyAlignment="1">
      <alignment horizontal="right" vertical="center" wrapText="1"/>
    </xf>
    <xf numFmtId="0" fontId="181" fillId="63" borderId="62" xfId="0" applyFont="1" applyFill="1" applyBorder="1" applyAlignment="1">
      <alignment horizontal="right" vertical="center" wrapText="1"/>
    </xf>
    <xf numFmtId="0" fontId="181" fillId="63" borderId="63" xfId="0" applyFont="1" applyFill="1" applyBorder="1" applyAlignment="1">
      <alignment horizontal="right" vertical="center" wrapText="1"/>
    </xf>
    <xf numFmtId="0" fontId="166" fillId="2" borderId="334" xfId="0" applyFont="1" applyFill="1" applyBorder="1" applyAlignment="1">
      <alignment horizontal="left" vertical="center"/>
    </xf>
    <xf numFmtId="0" fontId="166" fillId="2" borderId="337" xfId="0" applyFont="1" applyFill="1" applyBorder="1" applyAlignment="1">
      <alignment horizontal="left" vertical="center"/>
    </xf>
    <xf numFmtId="0" fontId="181" fillId="63" borderId="208" xfId="0" applyFont="1" applyFill="1" applyBorder="1" applyAlignment="1">
      <alignment horizontal="right" vertical="center" wrapText="1"/>
    </xf>
    <xf numFmtId="0" fontId="181" fillId="63" borderId="65" xfId="0" applyFont="1" applyFill="1" applyBorder="1" applyAlignment="1">
      <alignment horizontal="center" vertical="center" wrapText="1"/>
    </xf>
    <xf numFmtId="0" fontId="181" fillId="63" borderId="62" xfId="0" applyFont="1" applyFill="1" applyBorder="1" applyAlignment="1">
      <alignment horizontal="center" vertical="center" wrapText="1"/>
    </xf>
    <xf numFmtId="0" fontId="181" fillId="63" borderId="63" xfId="0" applyFont="1" applyFill="1" applyBorder="1" applyAlignment="1">
      <alignment horizontal="center" vertical="center" wrapText="1"/>
    </xf>
    <xf numFmtId="0" fontId="190" fillId="63" borderId="341" xfId="0" applyFont="1" applyFill="1" applyBorder="1" applyAlignment="1">
      <alignment horizontal="right" vertical="center" wrapText="1"/>
    </xf>
    <xf numFmtId="0" fontId="190" fillId="63" borderId="342" xfId="0" applyFont="1" applyFill="1" applyBorder="1" applyAlignment="1">
      <alignment horizontal="right" vertical="center" wrapText="1"/>
    </xf>
    <xf numFmtId="0" fontId="190" fillId="63" borderId="343" xfId="0" applyFont="1" applyFill="1" applyBorder="1" applyAlignment="1">
      <alignment horizontal="right" vertical="center" wrapText="1"/>
    </xf>
    <xf numFmtId="0" fontId="151" fillId="63" borderId="22" xfId="0" applyFont="1" applyFill="1" applyBorder="1" applyAlignment="1">
      <alignment horizontal="right" vertical="center" wrapText="1"/>
    </xf>
    <xf numFmtId="0" fontId="181" fillId="63" borderId="331" xfId="0" applyFont="1" applyFill="1" applyBorder="1" applyAlignment="1">
      <alignment horizontal="right" vertical="center" wrapText="1"/>
    </xf>
    <xf numFmtId="0" fontId="181" fillId="63" borderId="306" xfId="0" applyFont="1" applyFill="1" applyBorder="1" applyAlignment="1">
      <alignment horizontal="right" vertical="center" wrapText="1"/>
    </xf>
    <xf numFmtId="0" fontId="181" fillId="63" borderId="307" xfId="0" applyFont="1" applyFill="1" applyBorder="1" applyAlignment="1">
      <alignment horizontal="right" vertical="center" wrapText="1"/>
    </xf>
    <xf numFmtId="0" fontId="206" fillId="63" borderId="22" xfId="0" applyFont="1" applyFill="1" applyBorder="1" applyAlignment="1">
      <alignment horizontal="right" vertical="center" wrapText="1"/>
    </xf>
    <xf numFmtId="0" fontId="45" fillId="2" borderId="357" xfId="0" applyFont="1" applyFill="1" applyBorder="1" applyAlignment="1">
      <alignment horizontal="center"/>
    </xf>
    <xf numFmtId="0" fontId="45" fillId="2" borderId="124" xfId="0" applyFont="1" applyFill="1" applyBorder="1" applyAlignment="1">
      <alignment horizontal="center"/>
    </xf>
    <xf numFmtId="0" fontId="45" fillId="2" borderId="125" xfId="0" applyFont="1" applyFill="1" applyBorder="1" applyAlignment="1">
      <alignment horizontal="center"/>
    </xf>
    <xf numFmtId="0" fontId="159" fillId="6" borderId="22" xfId="0" applyFont="1" applyFill="1" applyBorder="1" applyAlignment="1">
      <alignment horizontal="center"/>
    </xf>
    <xf numFmtId="0" fontId="205" fillId="6" borderId="22" xfId="0" applyFont="1" applyFill="1" applyBorder="1" applyAlignment="1">
      <alignment horizontal="center"/>
    </xf>
    <xf numFmtId="0" fontId="159" fillId="6" borderId="128" xfId="0" applyFont="1" applyFill="1" applyBorder="1" applyAlignment="1">
      <alignment horizontal="center" wrapText="1"/>
    </xf>
    <xf numFmtId="0" fontId="159" fillId="6" borderId="0" xfId="0" applyFont="1" applyFill="1" applyAlignment="1">
      <alignment horizontal="center" wrapText="1"/>
    </xf>
    <xf numFmtId="0" fontId="159" fillId="6" borderId="141" xfId="0" applyFont="1" applyFill="1" applyBorder="1" applyAlignment="1">
      <alignment horizontal="center" wrapText="1"/>
    </xf>
    <xf numFmtId="0" fontId="151" fillId="63" borderId="208" xfId="0" applyFont="1" applyFill="1" applyBorder="1" applyAlignment="1">
      <alignment horizontal="right" vertical="center" wrapText="1"/>
    </xf>
    <xf numFmtId="0" fontId="151" fillId="63" borderId="62" xfId="0" applyFont="1" applyFill="1" applyBorder="1" applyAlignment="1">
      <alignment horizontal="right" vertical="center" wrapText="1"/>
    </xf>
    <xf numFmtId="0" fontId="151" fillId="63" borderId="63" xfId="0" applyFont="1" applyFill="1" applyBorder="1" applyAlignment="1">
      <alignment horizontal="right" vertical="center" wrapText="1"/>
    </xf>
    <xf numFmtId="0" fontId="207" fillId="4" borderId="22" xfId="0" applyFont="1" applyFill="1" applyBorder="1" applyAlignment="1">
      <alignment horizontal="center" vertical="center"/>
    </xf>
    <xf numFmtId="0" fontId="166" fillId="11" borderId="129" xfId="0" applyFont="1" applyFill="1" applyBorder="1" applyAlignment="1">
      <alignment horizontal="center"/>
    </xf>
    <xf numFmtId="0" fontId="166" fillId="11" borderId="131" xfId="0" applyFont="1" applyFill="1" applyBorder="1" applyAlignment="1">
      <alignment horizontal="center"/>
    </xf>
    <xf numFmtId="168" fontId="5" fillId="0" borderId="344" xfId="0" applyNumberFormat="1" applyFont="1" applyBorder="1" applyAlignment="1">
      <alignment horizontal="left"/>
    </xf>
    <xf numFmtId="168" fontId="5" fillId="0" borderId="334" xfId="0" applyNumberFormat="1" applyFont="1" applyBorder="1" applyAlignment="1">
      <alignment horizontal="left"/>
    </xf>
    <xf numFmtId="168" fontId="5" fillId="0" borderId="345" xfId="0" applyNumberFormat="1" applyFont="1" applyBorder="1" applyAlignment="1">
      <alignment horizontal="left"/>
    </xf>
    <xf numFmtId="0" fontId="151" fillId="2" borderId="292" xfId="0" applyFont="1" applyFill="1" applyBorder="1" applyAlignment="1">
      <alignment horizontal="center" vertical="center" wrapText="1"/>
    </xf>
    <xf numFmtId="0" fontId="151" fillId="2" borderId="367" xfId="0" applyFont="1" applyFill="1" applyBorder="1" applyAlignment="1">
      <alignment horizontal="center" vertical="center" wrapText="1"/>
    </xf>
    <xf numFmtId="0" fontId="40" fillId="2" borderId="364" xfId="0" applyFont="1" applyFill="1" applyBorder="1" applyAlignment="1">
      <alignment horizontal="center" vertical="center" wrapText="1"/>
    </xf>
    <xf numFmtId="0" fontId="40" fillId="2" borderId="363" xfId="0" applyFont="1" applyFill="1" applyBorder="1" applyAlignment="1">
      <alignment horizontal="center" vertical="center" wrapText="1"/>
    </xf>
    <xf numFmtId="0" fontId="45" fillId="2" borderId="32" xfId="0" applyFont="1" applyFill="1" applyBorder="1" applyAlignment="1">
      <alignment horizontal="center"/>
    </xf>
    <xf numFmtId="0" fontId="45" fillId="2" borderId="33" xfId="0" applyFont="1" applyFill="1" applyBorder="1" applyAlignment="1">
      <alignment horizontal="center"/>
    </xf>
    <xf numFmtId="0" fontId="45" fillId="2" borderId="34" xfId="0" applyFont="1" applyFill="1" applyBorder="1" applyAlignment="1">
      <alignment horizontal="center"/>
    </xf>
    <xf numFmtId="0" fontId="76" fillId="6" borderId="359" xfId="0" applyFont="1" applyFill="1" applyBorder="1" applyAlignment="1">
      <alignment horizontal="center" vertical="center" wrapText="1"/>
    </xf>
    <xf numFmtId="0" fontId="76" fillId="6" borderId="54" xfId="0" applyFont="1" applyFill="1" applyBorder="1" applyAlignment="1">
      <alignment horizontal="center" vertical="center" wrapText="1"/>
    </xf>
    <xf numFmtId="0" fontId="151" fillId="2" borderId="57" xfId="0" applyFont="1" applyFill="1" applyBorder="1" applyAlignment="1">
      <alignment horizontal="center" vertical="center" wrapText="1"/>
    </xf>
    <xf numFmtId="0" fontId="151" fillId="2" borderId="358" xfId="0" applyFont="1" applyFill="1" applyBorder="1" applyAlignment="1">
      <alignment horizontal="center" vertical="center" wrapText="1"/>
    </xf>
    <xf numFmtId="0" fontId="151" fillId="2" borderId="65" xfId="0" applyFont="1" applyFill="1" applyBorder="1" applyAlignment="1">
      <alignment horizontal="center" vertical="center" wrapText="1"/>
    </xf>
    <xf numFmtId="0" fontId="151" fillId="2" borderId="330" xfId="0" applyFont="1" applyFill="1" applyBorder="1" applyAlignment="1">
      <alignment horizontal="center" vertical="center" wrapText="1"/>
    </xf>
    <xf numFmtId="0" fontId="151" fillId="63" borderId="331" xfId="0" applyFont="1" applyFill="1" applyBorder="1" applyAlignment="1">
      <alignment horizontal="right" vertical="center" wrapText="1"/>
    </xf>
    <xf numFmtId="0" fontId="151" fillId="63" borderId="306" xfId="0" applyFont="1" applyFill="1" applyBorder="1" applyAlignment="1">
      <alignment horizontal="right" vertical="center" wrapText="1"/>
    </xf>
    <xf numFmtId="0" fontId="151" fillId="63" borderId="307" xfId="0" applyFont="1" applyFill="1" applyBorder="1" applyAlignment="1">
      <alignment horizontal="right" vertical="center" wrapText="1"/>
    </xf>
    <xf numFmtId="0" fontId="151" fillId="63" borderId="66" xfId="0" applyFont="1" applyFill="1" applyBorder="1" applyAlignment="1">
      <alignment horizontal="right" vertical="center" wrapText="1"/>
    </xf>
    <xf numFmtId="0" fontId="195" fillId="2" borderId="22" xfId="0" applyFont="1" applyFill="1" applyBorder="1" applyAlignment="1">
      <alignment horizontal="center"/>
    </xf>
    <xf numFmtId="0" fontId="14" fillId="7" borderId="24" xfId="0" applyFont="1" applyFill="1" applyBorder="1" applyAlignment="1">
      <alignment horizontal="center" wrapText="1"/>
    </xf>
    <xf numFmtId="0" fontId="14" fillId="7" borderId="62" xfId="0" applyFont="1" applyFill="1" applyBorder="1" applyAlignment="1">
      <alignment horizontal="center" wrapText="1"/>
    </xf>
    <xf numFmtId="0" fontId="14" fillId="7" borderId="66" xfId="0" applyFont="1" applyFill="1" applyBorder="1" applyAlignment="1">
      <alignment horizontal="center" wrapText="1"/>
    </xf>
    <xf numFmtId="0" fontId="196" fillId="2" borderId="35" xfId="0" applyFont="1" applyFill="1" applyBorder="1" applyAlignment="1">
      <alignment horizontal="right" vertical="center" wrapText="1"/>
    </xf>
    <xf numFmtId="0" fontId="196" fillId="2" borderId="22" xfId="0" applyFont="1" applyFill="1" applyBorder="1" applyAlignment="1">
      <alignment horizontal="right" vertical="center" wrapText="1"/>
    </xf>
    <xf numFmtId="0" fontId="111" fillId="2" borderId="347" xfId="0" applyFont="1" applyFill="1" applyBorder="1" applyAlignment="1">
      <alignment horizontal="right" vertical="center" wrapText="1"/>
    </xf>
    <xf numFmtId="0" fontId="111" fillId="2" borderId="46" xfId="0" applyFont="1" applyFill="1" applyBorder="1" applyAlignment="1">
      <alignment horizontal="right" vertical="center" wrapText="1"/>
    </xf>
    <xf numFmtId="0" fontId="159" fillId="6" borderId="37" xfId="0" applyFont="1" applyFill="1" applyBorder="1" applyAlignment="1">
      <alignment horizontal="center"/>
    </xf>
    <xf numFmtId="0" fontId="159" fillId="6" borderId="0" xfId="0" applyFont="1" applyFill="1" applyAlignment="1">
      <alignment horizontal="center"/>
    </xf>
    <xf numFmtId="0" fontId="195" fillId="2" borderId="46" xfId="0" applyFont="1" applyFill="1" applyBorder="1" applyAlignment="1">
      <alignment horizontal="center"/>
    </xf>
    <xf numFmtId="0" fontId="159" fillId="6" borderId="38" xfId="0" applyFont="1" applyFill="1" applyBorder="1" applyAlignment="1">
      <alignment horizontal="center"/>
    </xf>
    <xf numFmtId="0" fontId="147" fillId="63" borderId="67" xfId="0" applyFont="1" applyFill="1" applyBorder="1" applyAlignment="1">
      <alignment horizontal="center" vertical="center"/>
    </xf>
    <xf numFmtId="0" fontId="147" fillId="63" borderId="60" xfId="0" applyFont="1" applyFill="1" applyBorder="1" applyAlignment="1">
      <alignment horizontal="center" vertical="center"/>
    </xf>
    <xf numFmtId="0" fontId="147" fillId="63" borderId="288" xfId="0" applyFont="1" applyFill="1" applyBorder="1" applyAlignment="1">
      <alignment horizontal="center" vertical="center"/>
    </xf>
    <xf numFmtId="0" fontId="202" fillId="63" borderId="57" xfId="2" applyFont="1" applyFill="1" applyBorder="1" applyAlignment="1">
      <alignment horizontal="right" vertical="center" wrapText="1"/>
    </xf>
    <xf numFmtId="0" fontId="202" fillId="63" borderId="31" xfId="2" applyFont="1" applyFill="1" applyBorder="1" applyAlignment="1">
      <alignment horizontal="right" vertical="center" wrapText="1"/>
    </xf>
    <xf numFmtId="0" fontId="180" fillId="6" borderId="128" xfId="0" applyFont="1" applyFill="1" applyBorder="1" applyAlignment="1">
      <alignment horizontal="center" wrapText="1"/>
    </xf>
    <xf numFmtId="0" fontId="180" fillId="6" borderId="0" xfId="0" applyFont="1" applyFill="1" applyAlignment="1">
      <alignment horizontal="center" wrapText="1"/>
    </xf>
    <xf numFmtId="0" fontId="180" fillId="6" borderId="141" xfId="0" applyFont="1" applyFill="1" applyBorder="1" applyAlignment="1">
      <alignment horizontal="center" wrapText="1"/>
    </xf>
    <xf numFmtId="0" fontId="147" fillId="63" borderId="292" xfId="0" applyFont="1" applyFill="1" applyBorder="1" applyAlignment="1">
      <alignment horizontal="center" vertical="center" wrapText="1"/>
    </xf>
    <xf numFmtId="0" fontId="147" fillId="63" borderId="293" xfId="0" applyFont="1" applyFill="1" applyBorder="1" applyAlignment="1">
      <alignment horizontal="center" vertical="center" wrapText="1"/>
    </xf>
    <xf numFmtId="0" fontId="147" fillId="63" borderId="294" xfId="0" applyFont="1" applyFill="1" applyBorder="1" applyAlignment="1">
      <alignment horizontal="center" vertical="center" wrapText="1"/>
    </xf>
    <xf numFmtId="0" fontId="65" fillId="66" borderId="22" xfId="0" applyFont="1" applyFill="1" applyBorder="1" applyAlignment="1">
      <alignment horizontal="center"/>
    </xf>
    <xf numFmtId="0" fontId="65" fillId="66" borderId="36" xfId="0" applyFont="1" applyFill="1" applyBorder="1" applyAlignment="1">
      <alignment horizontal="center"/>
    </xf>
    <xf numFmtId="0" fontId="147" fillId="63" borderId="105" xfId="0" applyFont="1" applyFill="1" applyBorder="1" applyAlignment="1">
      <alignment horizontal="center" vertical="center"/>
    </xf>
    <xf numFmtId="0" fontId="147" fillId="63" borderId="30" xfId="0" applyFont="1" applyFill="1" applyBorder="1" applyAlignment="1">
      <alignment horizontal="center" vertical="center"/>
    </xf>
    <xf numFmtId="0" fontId="147" fillId="63" borderId="58" xfId="0" applyFont="1" applyFill="1" applyBorder="1" applyAlignment="1">
      <alignment horizontal="center" vertical="center"/>
    </xf>
    <xf numFmtId="0" fontId="0" fillId="0" borderId="155" xfId="0" applyBorder="1" applyAlignment="1">
      <alignment horizontal="center"/>
    </xf>
    <xf numFmtId="0" fontId="14" fillId="7" borderId="155" xfId="0" applyFont="1" applyFill="1" applyBorder="1" applyAlignment="1">
      <alignment horizontal="center" wrapText="1"/>
    </xf>
    <xf numFmtId="0" fontId="14" fillId="7" borderId="99" xfId="0" applyFont="1" applyFill="1" applyBorder="1" applyAlignment="1">
      <alignment horizontal="center" wrapText="1"/>
    </xf>
    <xf numFmtId="0" fontId="147" fillId="63" borderId="57" xfId="0" applyFont="1" applyFill="1" applyBorder="1" applyAlignment="1">
      <alignment horizontal="left" vertical="top"/>
    </xf>
    <xf numFmtId="0" fontId="147" fillId="63" borderId="31" xfId="0" applyFont="1" applyFill="1" applyBorder="1" applyAlignment="1">
      <alignment horizontal="left" vertical="top"/>
    </xf>
    <xf numFmtId="0" fontId="147" fillId="63" borderId="27" xfId="0" applyFont="1" applyFill="1" applyBorder="1" applyAlignment="1">
      <alignment horizontal="left" vertical="top"/>
    </xf>
    <xf numFmtId="0" fontId="147" fillId="63" borderId="65" xfId="0" applyFont="1" applyFill="1" applyBorder="1" applyAlignment="1">
      <alignment horizontal="center" vertical="top" wrapText="1"/>
    </xf>
    <xf numFmtId="0" fontId="147" fillId="63" borderId="62" xfId="0" applyFont="1" applyFill="1" applyBorder="1" applyAlignment="1">
      <alignment horizontal="center" vertical="top" wrapText="1"/>
    </xf>
    <xf numFmtId="0" fontId="147" fillId="63" borderId="63" xfId="0" applyFont="1" applyFill="1" applyBorder="1" applyAlignment="1">
      <alignment horizontal="center" vertical="top" wrapText="1"/>
    </xf>
    <xf numFmtId="166" fontId="14" fillId="7" borderId="25" xfId="0" applyNumberFormat="1" applyFont="1" applyFill="1" applyBorder="1" applyAlignment="1">
      <alignment horizontal="center" wrapText="1"/>
    </xf>
    <xf numFmtId="166" fontId="14" fillId="7" borderId="0" xfId="0" applyNumberFormat="1" applyFont="1" applyFill="1" applyAlignment="1">
      <alignment horizontal="center" wrapText="1"/>
    </xf>
    <xf numFmtId="0" fontId="14" fillId="7" borderId="59" xfId="0" applyFont="1" applyFill="1" applyBorder="1" applyAlignment="1">
      <alignment horizontal="center" wrapText="1"/>
    </xf>
    <xf numFmtId="0" fontId="14" fillId="7" borderId="60" xfId="0" applyFont="1" applyFill="1" applyBorder="1" applyAlignment="1">
      <alignment horizontal="center" wrapText="1"/>
    </xf>
    <xf numFmtId="0" fontId="14" fillId="7" borderId="61" xfId="0" applyFont="1" applyFill="1" applyBorder="1" applyAlignment="1">
      <alignment horizontal="center" wrapText="1"/>
    </xf>
    <xf numFmtId="0" fontId="147" fillId="63" borderId="57" xfId="0" applyFont="1" applyFill="1" applyBorder="1" applyAlignment="1">
      <alignment horizontal="center" vertical="top" wrapText="1"/>
    </xf>
    <xf numFmtId="0" fontId="147" fillId="63" borderId="31" xfId="0" applyFont="1" applyFill="1" applyBorder="1" applyAlignment="1">
      <alignment horizontal="center" vertical="top" wrapText="1"/>
    </xf>
    <xf numFmtId="0" fontId="147" fillId="63" borderId="27" xfId="0" applyFont="1" applyFill="1" applyBorder="1" applyAlignment="1">
      <alignment horizontal="center" vertical="top" wrapText="1"/>
    </xf>
    <xf numFmtId="0" fontId="163" fillId="62" borderId="37" xfId="0" applyFont="1" applyFill="1" applyBorder="1" applyAlignment="1">
      <alignment horizontal="center" vertical="center" wrapText="1"/>
    </xf>
    <xf numFmtId="0" fontId="163" fillId="62" borderId="0" xfId="0" applyFont="1" applyFill="1" applyAlignment="1">
      <alignment horizontal="center" vertical="center" wrapText="1"/>
    </xf>
    <xf numFmtId="0" fontId="163" fillId="62" borderId="38" xfId="0" applyFont="1" applyFill="1" applyBorder="1" applyAlignment="1">
      <alignment horizontal="center" vertical="center" wrapText="1"/>
    </xf>
    <xf numFmtId="0" fontId="151" fillId="66" borderId="309" xfId="0" applyFont="1" applyFill="1" applyBorder="1" applyAlignment="1">
      <alignment horizontal="right" vertical="center" wrapText="1"/>
    </xf>
    <xf numFmtId="0" fontId="151" fillId="66" borderId="310" xfId="0" applyFont="1" applyFill="1" applyBorder="1" applyAlignment="1">
      <alignment horizontal="right" vertical="center" wrapText="1"/>
    </xf>
    <xf numFmtId="0" fontId="151" fillId="66" borderId="314" xfId="0" applyFont="1" applyFill="1" applyBorder="1" applyAlignment="1">
      <alignment horizontal="right" vertical="center" wrapText="1"/>
    </xf>
    <xf numFmtId="0" fontId="151" fillId="7" borderId="29" xfId="0" applyFont="1" applyFill="1" applyBorder="1" applyAlignment="1">
      <alignment horizontal="center"/>
    </xf>
    <xf numFmtId="0" fontId="151" fillId="7" borderId="30" xfId="0" applyFont="1" applyFill="1" applyBorder="1" applyAlignment="1">
      <alignment horizontal="center"/>
    </xf>
    <xf numFmtId="0" fontId="151" fillId="7" borderId="47" xfId="0" applyFont="1" applyFill="1" applyBorder="1" applyAlignment="1">
      <alignment horizontal="center"/>
    </xf>
    <xf numFmtId="0" fontId="151" fillId="7" borderId="26" xfId="0" applyFont="1" applyFill="1" applyBorder="1" applyAlignment="1">
      <alignment horizontal="center"/>
    </xf>
    <xf numFmtId="0" fontId="151" fillId="7" borderId="31" xfId="0" applyFont="1" applyFill="1" applyBorder="1" applyAlignment="1">
      <alignment horizontal="center"/>
    </xf>
    <xf numFmtId="0" fontId="151" fillId="7" borderId="48" xfId="0" applyFont="1" applyFill="1" applyBorder="1" applyAlignment="1">
      <alignment horizontal="center"/>
    </xf>
    <xf numFmtId="0" fontId="151" fillId="64" borderId="315" xfId="0" applyFont="1" applyFill="1" applyBorder="1" applyAlignment="1">
      <alignment horizontal="right" vertical="center" wrapText="1"/>
    </xf>
    <xf numFmtId="0" fontId="151" fillId="64" borderId="316" xfId="0" applyFont="1" applyFill="1" applyBorder="1" applyAlignment="1">
      <alignment horizontal="right" vertical="center" wrapText="1"/>
    </xf>
    <xf numFmtId="0" fontId="151" fillId="64" borderId="317" xfId="0" applyFont="1" applyFill="1" applyBorder="1" applyAlignment="1">
      <alignment horizontal="right" vertical="center" wrapText="1"/>
    </xf>
    <xf numFmtId="0" fontId="151" fillId="63" borderId="320" xfId="0" applyFont="1" applyFill="1" applyBorder="1" applyAlignment="1">
      <alignment horizontal="right" vertical="center" wrapText="1"/>
    </xf>
    <xf numFmtId="0" fontId="151" fillId="63" borderId="321" xfId="0" applyFont="1" applyFill="1" applyBorder="1" applyAlignment="1">
      <alignment horizontal="right" vertical="center" wrapText="1"/>
    </xf>
    <xf numFmtId="0" fontId="151" fillId="63" borderId="322" xfId="0" applyFont="1" applyFill="1" applyBorder="1" applyAlignment="1">
      <alignment horizontal="right" vertical="center" wrapText="1"/>
    </xf>
    <xf numFmtId="0" fontId="151" fillId="63" borderId="312" xfId="0" applyFont="1" applyFill="1" applyBorder="1" applyAlignment="1">
      <alignment horizontal="right" vertical="center" wrapText="1"/>
    </xf>
    <xf numFmtId="0" fontId="151" fillId="63" borderId="83" xfId="0" applyFont="1" applyFill="1" applyBorder="1" applyAlignment="1">
      <alignment horizontal="right" vertical="center" wrapText="1"/>
    </xf>
    <xf numFmtId="0" fontId="151" fillId="63" borderId="323" xfId="0" applyFont="1" applyFill="1" applyBorder="1" applyAlignment="1">
      <alignment horizontal="right" vertical="center" wrapText="1"/>
    </xf>
    <xf numFmtId="0" fontId="151" fillId="63" borderId="324" xfId="0" applyFont="1" applyFill="1" applyBorder="1" applyAlignment="1">
      <alignment horizontal="right" vertical="center" wrapText="1"/>
    </xf>
    <xf numFmtId="0" fontId="151" fillId="63" borderId="325" xfId="0" applyFont="1" applyFill="1" applyBorder="1" applyAlignment="1">
      <alignment horizontal="right" vertical="center" wrapText="1"/>
    </xf>
    <xf numFmtId="0" fontId="151" fillId="63" borderId="326" xfId="0" applyFont="1" applyFill="1" applyBorder="1" applyAlignment="1">
      <alignment horizontal="right" vertical="center" wrapText="1"/>
    </xf>
    <xf numFmtId="0" fontId="164" fillId="11" borderId="132" xfId="0" applyFont="1" applyFill="1" applyBorder="1" applyAlignment="1">
      <alignment horizontal="center"/>
    </xf>
    <xf numFmtId="0" fontId="186" fillId="2" borderId="327" xfId="0" applyFont="1" applyFill="1" applyBorder="1" applyAlignment="1">
      <alignment horizontal="center"/>
    </xf>
    <xf numFmtId="0" fontId="186" fillId="2" borderId="328" xfId="0" applyFont="1" applyFill="1" applyBorder="1" applyAlignment="1">
      <alignment horizontal="center"/>
    </xf>
    <xf numFmtId="0" fontId="186" fillId="2" borderId="329" xfId="0" applyFont="1" applyFill="1" applyBorder="1" applyAlignment="1">
      <alignment horizontal="center"/>
    </xf>
    <xf numFmtId="0" fontId="44" fillId="63" borderId="57" xfId="2" applyFont="1" applyFill="1" applyBorder="1" applyAlignment="1">
      <alignment horizontal="center" vertical="center" wrapText="1"/>
    </xf>
    <xf numFmtId="0" fontId="44" fillId="63" borderId="31" xfId="2" applyFont="1" applyFill="1" applyBorder="1" applyAlignment="1">
      <alignment horizontal="center" vertical="center" wrapText="1"/>
    </xf>
    <xf numFmtId="0" fontId="44" fillId="63" borderId="27" xfId="2" applyFont="1" applyFill="1" applyBorder="1" applyAlignment="1">
      <alignment horizontal="center" vertical="center" wrapText="1"/>
    </xf>
    <xf numFmtId="0" fontId="14" fillId="7" borderId="295" xfId="0" applyFont="1" applyFill="1" applyBorder="1" applyAlignment="1">
      <alignment horizontal="center" wrapText="1"/>
    </xf>
    <xf numFmtId="0" fontId="14" fillId="7" borderId="293" xfId="0" applyFont="1" applyFill="1" applyBorder="1" applyAlignment="1">
      <alignment horizontal="center" wrapText="1"/>
    </xf>
    <xf numFmtId="0" fontId="14" fillId="7" borderId="296" xfId="0" applyFont="1" applyFill="1" applyBorder="1" applyAlignment="1">
      <alignment horizontal="center" wrapText="1"/>
    </xf>
    <xf numFmtId="0" fontId="4" fillId="2" borderId="37" xfId="0" applyFont="1" applyFill="1" applyBorder="1" applyAlignment="1">
      <alignment horizontal="left" wrapText="1"/>
    </xf>
    <xf numFmtId="0" fontId="4" fillId="2" borderId="0" xfId="0" applyFont="1" applyFill="1" applyAlignment="1">
      <alignment horizontal="left" wrapText="1"/>
    </xf>
    <xf numFmtId="0" fontId="147" fillId="63" borderId="67" xfId="0" applyFont="1" applyFill="1" applyBorder="1" applyAlignment="1">
      <alignment horizontal="center" vertical="center" wrapText="1"/>
    </xf>
    <xf numFmtId="0" fontId="147" fillId="63" borderId="60" xfId="0" applyFont="1" applyFill="1" applyBorder="1" applyAlignment="1">
      <alignment horizontal="center" vertical="center" wrapText="1"/>
    </xf>
    <xf numFmtId="0" fontId="147" fillId="63" borderId="288" xfId="0" applyFont="1" applyFill="1" applyBorder="1" applyAlignment="1">
      <alignment horizontal="center" vertical="center" wrapText="1"/>
    </xf>
    <xf numFmtId="0" fontId="14" fillId="7" borderId="28" xfId="0" applyFont="1" applyFill="1" applyBorder="1" applyAlignment="1">
      <alignment horizontal="center" vertical="center" wrapText="1"/>
    </xf>
    <xf numFmtId="0" fontId="14" fillId="7" borderId="49" xfId="0" applyFont="1" applyFill="1" applyBorder="1" applyAlignment="1">
      <alignment horizontal="center" vertical="center" wrapText="1"/>
    </xf>
    <xf numFmtId="0" fontId="147" fillId="63" borderId="65" xfId="0" applyFont="1" applyFill="1" applyBorder="1" applyAlignment="1">
      <alignment horizontal="center" vertical="center"/>
    </xf>
    <xf numFmtId="0" fontId="147" fillId="63" borderId="62" xfId="0" applyFont="1" applyFill="1" applyBorder="1" applyAlignment="1">
      <alignment horizontal="center" vertical="center"/>
    </xf>
    <xf numFmtId="0" fontId="147" fillId="63" borderId="63" xfId="0" applyFont="1" applyFill="1" applyBorder="1" applyAlignment="1">
      <alignment horizontal="center" vertical="center"/>
    </xf>
    <xf numFmtId="0" fontId="174" fillId="2" borderId="22" xfId="0" applyFont="1" applyFill="1" applyBorder="1" applyAlignment="1">
      <alignment horizontal="center" vertical="center"/>
    </xf>
    <xf numFmtId="0" fontId="174" fillId="2" borderId="36" xfId="0" applyFont="1" applyFill="1" applyBorder="1" applyAlignment="1">
      <alignment horizontal="center" vertical="center"/>
    </xf>
    <xf numFmtId="0" fontId="163" fillId="2" borderId="210" xfId="0" applyFont="1" applyFill="1" applyBorder="1" applyAlignment="1">
      <alignment horizontal="left" vertical="center" wrapText="1"/>
    </xf>
    <xf numFmtId="0" fontId="163" fillId="2" borderId="21" xfId="0" applyFont="1" applyFill="1" applyBorder="1" applyAlignment="1">
      <alignment horizontal="left" vertical="center" wrapText="1"/>
    </xf>
    <xf numFmtId="0" fontId="175" fillId="66" borderId="29" xfId="0" applyFont="1" applyFill="1" applyBorder="1" applyAlignment="1">
      <alignment horizontal="center"/>
    </xf>
    <xf numFmtId="0" fontId="175" fillId="66" borderId="58" xfId="0" applyFont="1" applyFill="1" applyBorder="1" applyAlignment="1">
      <alignment horizontal="center"/>
    </xf>
    <xf numFmtId="0" fontId="175" fillId="66" borderId="26" xfId="0" applyFont="1" applyFill="1" applyBorder="1" applyAlignment="1">
      <alignment horizontal="center"/>
    </xf>
    <xf numFmtId="0" fontId="175" fillId="66" borderId="27" xfId="0" applyFont="1" applyFill="1" applyBorder="1" applyAlignment="1">
      <alignment horizontal="center"/>
    </xf>
    <xf numFmtId="0" fontId="174" fillId="2" borderId="29" xfId="0" applyFont="1" applyFill="1" applyBorder="1" applyAlignment="1">
      <alignment horizontal="center" vertical="center"/>
    </xf>
    <xf numFmtId="0" fontId="174" fillId="2" borderId="30" xfId="0" applyFont="1" applyFill="1" applyBorder="1" applyAlignment="1">
      <alignment horizontal="center" vertical="center"/>
    </xf>
    <xf numFmtId="0" fontId="174" fillId="2" borderId="47" xfId="0" applyFont="1" applyFill="1" applyBorder="1" applyAlignment="1">
      <alignment horizontal="center" vertical="center"/>
    </xf>
    <xf numFmtId="0" fontId="183" fillId="2" borderId="25" xfId="0" applyFont="1" applyFill="1" applyBorder="1" applyAlignment="1">
      <alignment horizontal="center"/>
    </xf>
    <xf numFmtId="0" fontId="183" fillId="2" borderId="0" xfId="0" applyFont="1" applyFill="1" applyAlignment="1">
      <alignment horizontal="center"/>
    </xf>
    <xf numFmtId="0" fontId="183" fillId="2" borderId="38" xfId="0" applyFont="1" applyFill="1" applyBorder="1" applyAlignment="1">
      <alignment horizontal="center"/>
    </xf>
    <xf numFmtId="0" fontId="183" fillId="2" borderId="354" xfId="0" applyFont="1" applyFill="1" applyBorder="1" applyAlignment="1">
      <alignment horizontal="center"/>
    </xf>
    <xf numFmtId="0" fontId="183" fillId="2" borderId="40" xfId="0" applyFont="1" applyFill="1" applyBorder="1" applyAlignment="1">
      <alignment horizontal="center"/>
    </xf>
    <xf numFmtId="0" fontId="183" fillId="2" borderId="41" xfId="0" applyFont="1" applyFill="1" applyBorder="1" applyAlignment="1">
      <alignment horizontal="center"/>
    </xf>
    <xf numFmtId="0" fontId="0" fillId="66" borderId="14" xfId="0" applyFill="1" applyBorder="1" applyAlignment="1">
      <alignment horizontal="left" wrapText="1"/>
    </xf>
    <xf numFmtId="0" fontId="151" fillId="2" borderId="78" xfId="0" applyFont="1" applyFill="1" applyBorder="1" applyAlignment="1">
      <alignment horizontal="left" vertical="center" wrapText="1"/>
    </xf>
    <xf numFmtId="0" fontId="151" fillId="2" borderId="215" xfId="0" applyFont="1" applyFill="1" applyBorder="1" applyAlignment="1">
      <alignment horizontal="left" vertical="center" wrapText="1"/>
    </xf>
    <xf numFmtId="0" fontId="163" fillId="2" borderId="210" xfId="0" applyFont="1" applyFill="1" applyBorder="1" applyAlignment="1">
      <alignment horizontal="left" vertical="center"/>
    </xf>
    <xf numFmtId="0" fontId="163" fillId="2" borderId="21" xfId="0" applyFont="1" applyFill="1" applyBorder="1" applyAlignment="1">
      <alignment horizontal="left" vertical="center"/>
    </xf>
    <xf numFmtId="0" fontId="163" fillId="2" borderId="210" xfId="2" applyFont="1" applyFill="1" applyBorder="1" applyAlignment="1">
      <alignment horizontal="left" vertical="center" wrapText="1"/>
    </xf>
    <xf numFmtId="0" fontId="163" fillId="2" borderId="21" xfId="2" applyFont="1" applyFill="1" applyBorder="1" applyAlignment="1">
      <alignment horizontal="left" vertical="center" wrapText="1"/>
    </xf>
    <xf numFmtId="0" fontId="151" fillId="2" borderId="336" xfId="0" applyFont="1" applyFill="1" applyBorder="1" applyAlignment="1">
      <alignment horizontal="left" vertical="center" wrapText="1"/>
    </xf>
    <xf numFmtId="0" fontId="151" fillId="2" borderId="335" xfId="0" applyFont="1" applyFill="1" applyBorder="1" applyAlignment="1">
      <alignment horizontal="left" vertical="center" wrapText="1"/>
    </xf>
    <xf numFmtId="0" fontId="183" fillId="2" borderId="32" xfId="0" applyFont="1" applyFill="1" applyBorder="1" applyAlignment="1">
      <alignment horizontal="center" vertical="center"/>
    </xf>
    <xf numFmtId="0" fontId="183" fillId="2" borderId="351" xfId="0" applyFont="1" applyFill="1" applyBorder="1" applyAlignment="1">
      <alignment horizontal="center" vertical="center"/>
    </xf>
    <xf numFmtId="0" fontId="183" fillId="2" borderId="37" xfId="0" applyFont="1" applyFill="1" applyBorder="1" applyAlignment="1">
      <alignment horizontal="center" vertical="center"/>
    </xf>
    <xf numFmtId="0" fontId="183" fillId="2" borderId="70" xfId="0" applyFont="1" applyFill="1" applyBorder="1" applyAlignment="1">
      <alignment horizontal="center" vertical="center"/>
    </xf>
    <xf numFmtId="0" fontId="183" fillId="2" borderId="39" xfId="0" applyFont="1" applyFill="1" applyBorder="1" applyAlignment="1">
      <alignment horizontal="center" vertical="center"/>
    </xf>
    <xf numFmtId="0" fontId="183" fillId="2" borderId="164" xfId="0" applyFont="1" applyFill="1" applyBorder="1" applyAlignment="1">
      <alignment horizontal="center" vertical="center"/>
    </xf>
    <xf numFmtId="0" fontId="183" fillId="2" borderId="59" xfId="0" applyFont="1" applyFill="1" applyBorder="1" applyAlignment="1">
      <alignment horizontal="left"/>
    </xf>
    <xf numFmtId="0" fontId="183" fillId="2" borderId="60" xfId="0" applyFont="1" applyFill="1" applyBorder="1" applyAlignment="1">
      <alignment horizontal="left"/>
    </xf>
    <xf numFmtId="0" fontId="183" fillId="2" borderId="288" xfId="0" applyFont="1" applyFill="1" applyBorder="1" applyAlignment="1">
      <alignment horizontal="left"/>
    </xf>
    <xf numFmtId="0" fontId="183" fillId="2" borderId="24" xfId="0" applyFont="1" applyFill="1" applyBorder="1" applyAlignment="1">
      <alignment horizontal="left"/>
    </xf>
    <xf numFmtId="0" fontId="183" fillId="2" borderId="62" xfId="0" applyFont="1" applyFill="1" applyBorder="1" applyAlignment="1">
      <alignment horizontal="left"/>
    </xf>
    <xf numFmtId="0" fontId="183" fillId="2" borderId="63" xfId="0" applyFont="1" applyFill="1" applyBorder="1" applyAlignment="1">
      <alignment horizontal="left"/>
    </xf>
    <xf numFmtId="0" fontId="183" fillId="2" borderId="295" xfId="0" applyFont="1" applyFill="1" applyBorder="1" applyAlignment="1">
      <alignment horizontal="left"/>
    </xf>
    <xf numFmtId="0" fontId="183" fillId="2" borderId="293" xfId="0" applyFont="1" applyFill="1" applyBorder="1" applyAlignment="1">
      <alignment horizontal="left"/>
    </xf>
    <xf numFmtId="0" fontId="183" fillId="2" borderId="294" xfId="0" applyFont="1" applyFill="1" applyBorder="1" applyAlignment="1">
      <alignment horizontal="left"/>
    </xf>
    <xf numFmtId="0" fontId="183" fillId="2" borderId="59" xfId="0" applyFont="1" applyFill="1" applyBorder="1" applyAlignment="1">
      <alignment horizontal="center" vertical="center"/>
    </xf>
    <xf numFmtId="0" fontId="183" fillId="2" borderId="60" xfId="0" applyFont="1" applyFill="1" applyBorder="1" applyAlignment="1">
      <alignment horizontal="center" vertical="center"/>
    </xf>
    <xf numFmtId="0" fontId="183" fillId="2" borderId="61" xfId="0" applyFont="1" applyFill="1" applyBorder="1" applyAlignment="1">
      <alignment horizontal="center" vertical="center"/>
    </xf>
    <xf numFmtId="0" fontId="183" fillId="2" borderId="24" xfId="0" applyFont="1" applyFill="1" applyBorder="1" applyAlignment="1">
      <alignment horizontal="center" vertical="center"/>
    </xf>
    <xf numFmtId="0" fontId="183" fillId="2" borderId="62" xfId="0" applyFont="1" applyFill="1" applyBorder="1" applyAlignment="1">
      <alignment horizontal="center" vertical="center"/>
    </xf>
    <xf numFmtId="0" fontId="183" fillId="2" borderId="66" xfId="0" applyFont="1" applyFill="1" applyBorder="1" applyAlignment="1">
      <alignment horizontal="center" vertical="center"/>
    </xf>
    <xf numFmtId="0" fontId="183" fillId="2" borderId="295" xfId="0" applyFont="1" applyFill="1" applyBorder="1" applyAlignment="1">
      <alignment horizontal="center" vertical="center"/>
    </xf>
    <xf numFmtId="0" fontId="183" fillId="2" borderId="293" xfId="0" applyFont="1" applyFill="1" applyBorder="1" applyAlignment="1">
      <alignment horizontal="center" vertical="center"/>
    </xf>
    <xf numFmtId="0" fontId="183" fillId="2" borderId="296" xfId="0" applyFont="1" applyFill="1" applyBorder="1" applyAlignment="1">
      <alignment horizontal="center" vertical="center"/>
    </xf>
    <xf numFmtId="0" fontId="183" fillId="2" borderId="26" xfId="0" applyFont="1" applyFill="1" applyBorder="1" applyAlignment="1">
      <alignment horizontal="left"/>
    </xf>
    <xf numFmtId="0" fontId="183" fillId="2" borderId="31" xfId="0" applyFont="1" applyFill="1" applyBorder="1" applyAlignment="1">
      <alignment horizontal="left"/>
    </xf>
    <xf numFmtId="0" fontId="183" fillId="2" borderId="27" xfId="0" applyFont="1" applyFill="1" applyBorder="1" applyAlignment="1">
      <alignment horizontal="left"/>
    </xf>
    <xf numFmtId="0" fontId="183" fillId="2" borderId="353" xfId="0" applyFont="1" applyFill="1" applyBorder="1" applyAlignment="1">
      <alignment horizontal="center"/>
    </xf>
    <xf numFmtId="0" fontId="183" fillId="2" borderId="33" xfId="0" applyFont="1" applyFill="1" applyBorder="1" applyAlignment="1">
      <alignment horizontal="center"/>
    </xf>
    <xf numFmtId="0" fontId="183" fillId="2" borderId="34" xfId="0" applyFont="1" applyFill="1" applyBorder="1" applyAlignment="1">
      <alignment horizontal="center"/>
    </xf>
    <xf numFmtId="0" fontId="4" fillId="66" borderId="0" xfId="0" applyFont="1" applyFill="1" applyAlignment="1">
      <alignment horizontal="center" wrapText="1"/>
    </xf>
    <xf numFmtId="0" fontId="43" fillId="2" borderId="24" xfId="0" applyFont="1" applyFill="1" applyBorder="1" applyAlignment="1">
      <alignment horizontal="center"/>
    </xf>
    <xf numFmtId="0" fontId="43" fillId="2" borderId="62" xfId="0" applyFont="1" applyFill="1" applyBorder="1" applyAlignment="1">
      <alignment horizontal="center"/>
    </xf>
    <xf numFmtId="0" fontId="43" fillId="2" borderId="63" xfId="0" applyFont="1" applyFill="1" applyBorder="1" applyAlignment="1">
      <alignment horizontal="center"/>
    </xf>
    <xf numFmtId="0" fontId="43" fillId="2" borderId="295" xfId="0" applyFont="1" applyFill="1" applyBorder="1" applyAlignment="1">
      <alignment horizontal="center"/>
    </xf>
    <xf numFmtId="0" fontId="43" fillId="2" borderId="293" xfId="0" applyFont="1" applyFill="1" applyBorder="1" applyAlignment="1">
      <alignment horizontal="center"/>
    </xf>
    <xf numFmtId="0" fontId="43" fillId="2" borderId="294" xfId="0" applyFont="1" applyFill="1" applyBorder="1" applyAlignment="1">
      <alignment horizontal="center"/>
    </xf>
    <xf numFmtId="0" fontId="183" fillId="63" borderId="208" xfId="0" applyFont="1" applyFill="1" applyBorder="1" applyAlignment="1" applyProtection="1">
      <alignment horizontal="right" vertical="center" wrapText="1"/>
      <protection locked="0"/>
    </xf>
    <xf numFmtId="0" fontId="183" fillId="63" borderId="62" xfId="0" applyFont="1" applyFill="1" applyBorder="1" applyAlignment="1" applyProtection="1">
      <alignment horizontal="right" vertical="center" wrapText="1"/>
      <protection locked="0"/>
    </xf>
    <xf numFmtId="0" fontId="222" fillId="65" borderId="22" xfId="0" applyFont="1" applyFill="1" applyBorder="1" applyAlignment="1" applyProtection="1">
      <alignment horizontal="right" vertical="center" wrapText="1"/>
      <protection locked="0"/>
    </xf>
    <xf numFmtId="0" fontId="163" fillId="2" borderId="210" xfId="0" applyFont="1" applyFill="1" applyBorder="1" applyAlignment="1" applyProtection="1">
      <alignment horizontal="left" vertical="center"/>
      <protection locked="0"/>
    </xf>
    <xf numFmtId="0" fontId="163" fillId="2" borderId="21" xfId="0" applyFont="1" applyFill="1" applyBorder="1" applyAlignment="1" applyProtection="1">
      <alignment horizontal="left" vertical="center"/>
      <protection locked="0"/>
    </xf>
    <xf numFmtId="0" fontId="221" fillId="2" borderId="24" xfId="0" applyFont="1" applyFill="1" applyBorder="1" applyAlignment="1" applyProtection="1">
      <alignment horizontal="center"/>
      <protection locked="0"/>
    </xf>
    <xf numFmtId="0" fontId="221" fillId="2" borderId="407" xfId="0" applyFont="1" applyFill="1" applyBorder="1" applyAlignment="1" applyProtection="1">
      <alignment horizontal="center"/>
      <protection locked="0"/>
    </xf>
    <xf numFmtId="0" fontId="0" fillId="7" borderId="24" xfId="0" applyFill="1" applyBorder="1" applyAlignment="1" applyProtection="1">
      <alignment horizontal="center" vertical="center" wrapText="1"/>
      <protection locked="0"/>
    </xf>
    <xf numFmtId="0" fontId="0" fillId="7" borderId="62" xfId="0" applyFill="1" applyBorder="1" applyAlignment="1" applyProtection="1">
      <alignment horizontal="center" vertical="center" wrapText="1"/>
      <protection locked="0"/>
    </xf>
    <xf numFmtId="0" fontId="0" fillId="7" borderId="66" xfId="0" applyFill="1" applyBorder="1" applyAlignment="1" applyProtection="1">
      <alignment horizontal="center" vertical="center" wrapText="1"/>
      <protection locked="0"/>
    </xf>
    <xf numFmtId="0" fontId="195" fillId="2" borderId="22" xfId="0" applyFont="1" applyFill="1" applyBorder="1" applyAlignment="1" applyProtection="1">
      <alignment horizontal="center"/>
      <protection locked="0"/>
    </xf>
    <xf numFmtId="0" fontId="181" fillId="63" borderId="208" xfId="0" applyFont="1" applyFill="1" applyBorder="1" applyAlignment="1" applyProtection="1">
      <alignment horizontal="right" vertical="center" wrapText="1"/>
      <protection locked="0"/>
    </xf>
    <xf numFmtId="0" fontId="181" fillId="63" borderId="62" xfId="0" applyFont="1" applyFill="1" applyBorder="1" applyAlignment="1" applyProtection="1">
      <alignment horizontal="right" vertical="center" wrapText="1"/>
      <protection locked="0"/>
    </xf>
    <xf numFmtId="0" fontId="181" fillId="63" borderId="63" xfId="0" applyFont="1" applyFill="1" applyBorder="1" applyAlignment="1" applyProtection="1">
      <alignment horizontal="right" vertical="center" wrapText="1"/>
      <protection locked="0"/>
    </xf>
    <xf numFmtId="0" fontId="166" fillId="11" borderId="129" xfId="0" applyFont="1" applyFill="1" applyBorder="1" applyAlignment="1" applyProtection="1">
      <alignment horizontal="center" vertical="center"/>
      <protection locked="0"/>
    </xf>
    <xf numFmtId="0" fontId="166" fillId="11" borderId="131" xfId="0" applyFont="1" applyFill="1" applyBorder="1" applyAlignment="1" applyProtection="1">
      <alignment horizontal="center" vertical="center"/>
      <protection locked="0"/>
    </xf>
    <xf numFmtId="0" fontId="164" fillId="11" borderId="129" xfId="0" applyFont="1" applyFill="1" applyBorder="1" applyAlignment="1" applyProtection="1">
      <alignment horizontal="center"/>
      <protection locked="0"/>
    </xf>
    <xf numFmtId="0" fontId="164" fillId="11" borderId="131" xfId="0" applyFont="1" applyFill="1" applyBorder="1" applyAlignment="1" applyProtection="1">
      <alignment horizontal="center"/>
      <protection locked="0"/>
    </xf>
    <xf numFmtId="0" fontId="196" fillId="2" borderId="35" xfId="0" applyFont="1" applyFill="1" applyBorder="1" applyAlignment="1" applyProtection="1">
      <alignment horizontal="right" vertical="center" wrapText="1"/>
      <protection locked="0"/>
    </xf>
    <xf numFmtId="0" fontId="196" fillId="2" borderId="22" xfId="0" applyFont="1" applyFill="1" applyBorder="1" applyAlignment="1" applyProtection="1">
      <alignment horizontal="right" vertical="center" wrapText="1"/>
      <protection locked="0"/>
    </xf>
    <xf numFmtId="0" fontId="45" fillId="2" borderId="116" xfId="0" applyNumberFormat="1" applyFont="1" applyFill="1" applyBorder="1" applyAlignment="1" applyProtection="1">
      <alignment horizontal="center"/>
      <protection locked="0"/>
    </xf>
    <xf numFmtId="0" fontId="0" fillId="0" borderId="117" xfId="0" applyBorder="1" applyAlignment="1">
      <alignment horizontal="center"/>
    </xf>
    <xf numFmtId="168" fontId="5" fillId="0" borderId="344" xfId="0" applyNumberFormat="1" applyFont="1" applyBorder="1" applyAlignment="1" applyProtection="1">
      <alignment horizontal="left"/>
      <protection locked="0"/>
    </xf>
    <xf numFmtId="168" fontId="5" fillId="0" borderId="334" xfId="0" applyNumberFormat="1" applyFont="1" applyBorder="1" applyAlignment="1" applyProtection="1">
      <alignment horizontal="left"/>
      <protection locked="0"/>
    </xf>
    <xf numFmtId="168" fontId="5" fillId="0" borderId="345" xfId="0" applyNumberFormat="1" applyFont="1" applyBorder="1" applyAlignment="1" applyProtection="1">
      <alignment horizontal="left"/>
      <protection locked="0"/>
    </xf>
    <xf numFmtId="0" fontId="151" fillId="63" borderId="22" xfId="0" applyFont="1" applyFill="1" applyBorder="1" applyAlignment="1" applyProtection="1">
      <alignment horizontal="right" vertical="center" wrapText="1"/>
      <protection locked="0"/>
    </xf>
    <xf numFmtId="0" fontId="206" fillId="63" borderId="22" xfId="0" applyFont="1" applyFill="1" applyBorder="1" applyAlignment="1" applyProtection="1">
      <alignment horizontal="right" vertical="center" wrapText="1"/>
      <protection locked="0"/>
    </xf>
    <xf numFmtId="0" fontId="0" fillId="0" borderId="24" xfId="0" applyBorder="1" applyAlignment="1" applyProtection="1">
      <alignment horizontal="center"/>
      <protection locked="0"/>
    </xf>
    <xf numFmtId="0" fontId="0" fillId="0" borderId="63" xfId="0" applyBorder="1" applyAlignment="1" applyProtection="1">
      <alignment horizontal="center"/>
      <protection locked="0"/>
    </xf>
    <xf numFmtId="0" fontId="42" fillId="63" borderId="67" xfId="2" applyFont="1" applyFill="1" applyBorder="1" applyAlignment="1" applyProtection="1">
      <alignment horizontal="center" vertical="center" wrapText="1"/>
      <protection locked="0"/>
    </xf>
    <xf numFmtId="0" fontId="42" fillId="63" borderId="60" xfId="2" applyFont="1" applyFill="1" applyBorder="1" applyAlignment="1" applyProtection="1">
      <alignment horizontal="center" vertical="center" wrapText="1"/>
      <protection locked="0"/>
    </xf>
    <xf numFmtId="0" fontId="42" fillId="63" borderId="288" xfId="2" applyFont="1" applyFill="1" applyBorder="1" applyAlignment="1" applyProtection="1">
      <alignment horizontal="center" vertical="center" wrapText="1"/>
      <protection locked="0"/>
    </xf>
    <xf numFmtId="0" fontId="0" fillId="0" borderId="28" xfId="0" applyBorder="1" applyAlignment="1" applyProtection="1">
      <alignment horizontal="center"/>
      <protection locked="0"/>
    </xf>
    <xf numFmtId="0" fontId="45" fillId="2" borderId="357" xfId="0" applyFont="1" applyFill="1" applyBorder="1" applyAlignment="1" applyProtection="1">
      <alignment horizontal="center"/>
      <protection locked="0"/>
    </xf>
    <xf numFmtId="0" fontId="45" fillId="2" borderId="124" xfId="0" applyFont="1" applyFill="1" applyBorder="1" applyAlignment="1" applyProtection="1">
      <alignment horizontal="center"/>
      <protection locked="0"/>
    </xf>
    <xf numFmtId="0" fontId="4" fillId="37" borderId="418" xfId="0" applyFont="1" applyFill="1" applyBorder="1" applyAlignment="1" applyProtection="1">
      <alignment wrapText="1"/>
      <protection locked="0"/>
    </xf>
    <xf numFmtId="0" fontId="0" fillId="37" borderId="419" xfId="0" applyFill="1" applyBorder="1" applyAlignment="1">
      <alignment wrapText="1"/>
    </xf>
    <xf numFmtId="0" fontId="0" fillId="37" borderId="459" xfId="0" applyFill="1" applyBorder="1" applyAlignment="1">
      <alignment wrapText="1"/>
    </xf>
    <xf numFmtId="0" fontId="159" fillId="6" borderId="0" xfId="0" applyFont="1" applyFill="1" applyAlignment="1" applyProtection="1">
      <alignment horizontal="center"/>
      <protection locked="0"/>
    </xf>
    <xf numFmtId="0" fontId="159" fillId="6" borderId="38" xfId="0" applyFont="1" applyFill="1" applyBorder="1" applyAlignment="1" applyProtection="1">
      <alignment horizontal="center"/>
      <protection locked="0"/>
    </xf>
    <xf numFmtId="0" fontId="228" fillId="2" borderId="134" xfId="0" applyFont="1" applyFill="1" applyBorder="1" applyAlignment="1" applyProtection="1">
      <alignment horizontal="center" vertical="center" wrapText="1"/>
      <protection locked="0"/>
    </xf>
    <xf numFmtId="0" fontId="228" fillId="2" borderId="358" xfId="0" applyFont="1" applyFill="1" applyBorder="1" applyAlignment="1" applyProtection="1">
      <alignment horizontal="center" vertical="center" wrapText="1"/>
      <protection locked="0"/>
    </xf>
    <xf numFmtId="0" fontId="228" fillId="2" borderId="331" xfId="0" applyFont="1" applyFill="1" applyBorder="1" applyAlignment="1" applyProtection="1">
      <alignment horizontal="center" vertical="center" wrapText="1"/>
      <protection locked="0"/>
    </xf>
    <xf numFmtId="0" fontId="228" fillId="2" borderId="333" xfId="0" applyFont="1" applyFill="1" applyBorder="1" applyAlignment="1" applyProtection="1">
      <alignment horizontal="center" vertical="center" wrapText="1"/>
      <protection locked="0"/>
    </xf>
    <xf numFmtId="0" fontId="203" fillId="2" borderId="32" xfId="0" applyFont="1" applyFill="1" applyBorder="1" applyAlignment="1" applyProtection="1">
      <alignment horizontal="center"/>
      <protection locked="0"/>
    </xf>
    <xf numFmtId="0" fontId="203" fillId="2" borderId="33" xfId="0" applyFont="1" applyFill="1" applyBorder="1" applyAlignment="1" applyProtection="1">
      <alignment horizontal="center"/>
      <protection locked="0"/>
    </xf>
    <xf numFmtId="0" fontId="203" fillId="2" borderId="34" xfId="0" applyFont="1" applyFill="1" applyBorder="1" applyAlignment="1" applyProtection="1">
      <alignment horizontal="center"/>
      <protection locked="0"/>
    </xf>
    <xf numFmtId="0" fontId="159" fillId="6" borderId="405" xfId="0" applyFont="1" applyFill="1" applyBorder="1" applyAlignment="1" applyProtection="1">
      <alignment horizontal="center" vertical="center" wrapText="1"/>
      <protection locked="0"/>
    </xf>
    <xf numFmtId="0" fontId="159" fillId="6" borderId="385" xfId="0" applyFont="1" applyFill="1" applyBorder="1" applyAlignment="1" applyProtection="1">
      <alignment horizontal="center" vertical="center" wrapText="1"/>
      <protection locked="0"/>
    </xf>
    <xf numFmtId="0" fontId="159" fillId="6" borderId="383" xfId="0" applyFont="1" applyFill="1" applyBorder="1" applyAlignment="1" applyProtection="1">
      <alignment horizontal="center" vertical="center" wrapText="1"/>
      <protection locked="0"/>
    </xf>
    <xf numFmtId="0" fontId="159" fillId="6" borderId="145" xfId="0" applyFont="1" applyFill="1" applyBorder="1" applyAlignment="1" applyProtection="1">
      <alignment horizontal="center" vertical="center" wrapText="1"/>
      <protection locked="0"/>
    </xf>
    <xf numFmtId="0" fontId="76" fillId="2" borderId="144" xfId="0" applyFont="1" applyFill="1" applyBorder="1" applyAlignment="1" applyProtection="1">
      <alignment horizontal="center" vertical="center" wrapText="1"/>
      <protection locked="0"/>
    </xf>
    <xf numFmtId="0" fontId="76" fillId="2" borderId="145" xfId="0" applyFont="1" applyFill="1" applyBorder="1" applyAlignment="1" applyProtection="1">
      <alignment horizontal="center" vertical="center" wrapText="1"/>
      <protection locked="0"/>
    </xf>
    <xf numFmtId="0" fontId="76" fillId="2" borderId="384" xfId="0" applyFont="1" applyFill="1" applyBorder="1" applyAlignment="1" applyProtection="1">
      <alignment horizontal="center" vertical="center" wrapText="1"/>
      <protection locked="0"/>
    </xf>
    <xf numFmtId="0" fontId="181" fillId="63" borderId="66" xfId="0" applyFont="1" applyFill="1" applyBorder="1" applyAlignment="1" applyProtection="1">
      <alignment horizontal="right" vertical="center" wrapText="1"/>
      <protection locked="0"/>
    </xf>
    <xf numFmtId="0" fontId="181" fillId="63" borderId="331" xfId="0" applyFont="1" applyFill="1" applyBorder="1" applyAlignment="1" applyProtection="1">
      <alignment horizontal="right" vertical="center" wrapText="1"/>
      <protection locked="0"/>
    </xf>
    <xf numFmtId="0" fontId="181" fillId="63" borderId="306" xfId="0" applyFont="1" applyFill="1" applyBorder="1" applyAlignment="1" applyProtection="1">
      <alignment horizontal="right" vertical="center" wrapText="1"/>
      <protection locked="0"/>
    </xf>
    <xf numFmtId="0" fontId="181" fillId="63" borderId="307" xfId="0" applyFont="1" applyFill="1" applyBorder="1" applyAlignment="1" applyProtection="1">
      <alignment horizontal="right" vertical="center" wrapText="1"/>
      <protection locked="0"/>
    </xf>
    <xf numFmtId="0" fontId="45" fillId="2" borderId="32" xfId="0" applyFont="1" applyFill="1" applyBorder="1" applyAlignment="1" applyProtection="1">
      <alignment horizontal="center"/>
      <protection locked="0"/>
    </xf>
    <xf numFmtId="0" fontId="45" fillId="2" borderId="33" xfId="0" applyFont="1" applyFill="1" applyBorder="1" applyAlignment="1" applyProtection="1">
      <alignment horizontal="center"/>
      <protection locked="0"/>
    </xf>
    <xf numFmtId="0" fontId="45" fillId="2" borderId="34" xfId="0" applyFont="1" applyFill="1" applyBorder="1" applyAlignment="1" applyProtection="1">
      <alignment horizontal="center"/>
      <protection locked="0"/>
    </xf>
    <xf numFmtId="0" fontId="232" fillId="65" borderId="22" xfId="0" applyFont="1" applyFill="1" applyBorder="1" applyAlignment="1" applyProtection="1">
      <alignment horizontal="right" vertical="center" wrapText="1"/>
      <protection locked="0"/>
    </xf>
    <xf numFmtId="0" fontId="45" fillId="2" borderId="42" xfId="0" applyFont="1" applyFill="1" applyBorder="1" applyAlignment="1" applyProtection="1">
      <alignment horizontal="center"/>
      <protection locked="0"/>
    </xf>
    <xf numFmtId="0" fontId="45" fillId="2" borderId="43" xfId="0" applyFont="1" applyFill="1" applyBorder="1" applyAlignment="1" applyProtection="1">
      <alignment horizontal="center"/>
      <protection locked="0"/>
    </xf>
    <xf numFmtId="0" fontId="45" fillId="2" borderId="44" xfId="0" applyFont="1" applyFill="1" applyBorder="1" applyAlignment="1" applyProtection="1">
      <alignment horizontal="center"/>
      <protection locked="0"/>
    </xf>
    <xf numFmtId="0" fontId="159" fillId="6" borderId="37" xfId="0" applyFont="1" applyFill="1" applyBorder="1" applyAlignment="1" applyProtection="1">
      <alignment horizontal="center"/>
      <protection locked="0"/>
    </xf>
    <xf numFmtId="0" fontId="225" fillId="63" borderId="22" xfId="0" applyFont="1" applyFill="1" applyBorder="1" applyAlignment="1" applyProtection="1">
      <alignment horizontal="right" vertical="center" wrapText="1"/>
      <protection locked="0"/>
    </xf>
    <xf numFmtId="0" fontId="181" fillId="63" borderId="409" xfId="0" applyFont="1" applyFill="1" applyBorder="1" applyAlignment="1" applyProtection="1">
      <alignment horizontal="right" vertical="center" wrapText="1"/>
      <protection locked="0"/>
    </xf>
    <xf numFmtId="0" fontId="181" fillId="63" borderId="110" xfId="0" applyFont="1" applyFill="1" applyBorder="1" applyAlignment="1" applyProtection="1">
      <alignment horizontal="right" vertical="center" wrapText="1"/>
      <protection locked="0"/>
    </xf>
    <xf numFmtId="0" fontId="181" fillId="63" borderId="162" xfId="0" applyFont="1" applyFill="1" applyBorder="1" applyAlignment="1" applyProtection="1">
      <alignment horizontal="right" vertical="center" wrapText="1"/>
      <protection locked="0"/>
    </xf>
    <xf numFmtId="0" fontId="222" fillId="2" borderId="24" xfId="0" applyFont="1" applyFill="1" applyBorder="1" applyAlignment="1" applyProtection="1">
      <alignment horizontal="right"/>
      <protection locked="0"/>
    </xf>
    <xf numFmtId="0" fontId="222" fillId="2" borderId="62" xfId="0" applyFont="1" applyFill="1" applyBorder="1" applyAlignment="1" applyProtection="1">
      <alignment horizontal="right"/>
      <protection locked="0"/>
    </xf>
    <xf numFmtId="0" fontId="222" fillId="2" borderId="63" xfId="0" applyFont="1" applyFill="1" applyBorder="1" applyAlignment="1" applyProtection="1">
      <alignment horizontal="right"/>
      <protection locked="0"/>
    </xf>
    <xf numFmtId="0" fontId="183" fillId="2" borderId="22" xfId="0" applyFont="1" applyFill="1" applyBorder="1" applyAlignment="1" applyProtection="1">
      <alignment horizontal="right"/>
      <protection locked="0"/>
    </xf>
    <xf numFmtId="0" fontId="222" fillId="2" borderId="22" xfId="0" applyFont="1" applyFill="1" applyBorder="1" applyAlignment="1" applyProtection="1">
      <alignment horizontal="right"/>
      <protection locked="0"/>
    </xf>
    <xf numFmtId="0" fontId="159" fillId="6" borderId="128" xfId="0" applyFont="1" applyFill="1" applyBorder="1" applyAlignment="1" applyProtection="1">
      <alignment horizontal="center" wrapText="1"/>
      <protection locked="0"/>
    </xf>
    <xf numFmtId="0" fontId="159" fillId="6" borderId="0" xfId="0" applyFont="1" applyFill="1" applyAlignment="1" applyProtection="1">
      <alignment horizontal="center" wrapText="1"/>
      <protection locked="0"/>
    </xf>
    <xf numFmtId="0" fontId="159" fillId="6" borderId="141" xfId="0" applyFont="1" applyFill="1" applyBorder="1" applyAlignment="1" applyProtection="1">
      <alignment horizontal="center" wrapText="1"/>
      <protection locked="0"/>
    </xf>
    <xf numFmtId="0" fontId="166" fillId="11" borderId="129" xfId="0" applyFont="1" applyFill="1" applyBorder="1" applyAlignment="1" applyProtection="1">
      <alignment horizontal="center"/>
      <protection locked="0"/>
    </xf>
    <xf numFmtId="0" fontId="166" fillId="11" borderId="131" xfId="0" applyFont="1" applyFill="1" applyBorder="1" applyAlignment="1" applyProtection="1">
      <alignment horizontal="center"/>
      <protection locked="0"/>
    </xf>
    <xf numFmtId="0" fontId="207" fillId="4" borderId="22" xfId="0" applyFont="1" applyFill="1" applyBorder="1" applyAlignment="1" applyProtection="1">
      <alignment horizontal="center" vertical="center"/>
      <protection locked="0"/>
    </xf>
    <xf numFmtId="0" fontId="0" fillId="7" borderId="155" xfId="0" applyFill="1" applyBorder="1" applyAlignment="1" applyProtection="1">
      <alignment horizontal="center" vertical="center" wrapText="1"/>
      <protection locked="0"/>
    </xf>
    <xf numFmtId="0" fontId="0" fillId="7" borderId="99" xfId="0" applyFill="1" applyBorder="1" applyAlignment="1" applyProtection="1">
      <alignment horizontal="center" vertical="center" wrapText="1"/>
      <protection locked="0"/>
    </xf>
    <xf numFmtId="0" fontId="180" fillId="6" borderId="128" xfId="0" applyFont="1" applyFill="1" applyBorder="1" applyAlignment="1" applyProtection="1">
      <alignment horizontal="center" wrapText="1"/>
      <protection locked="0"/>
    </xf>
    <xf numFmtId="0" fontId="180" fillId="6" borderId="0" xfId="0" applyFont="1" applyFill="1" applyAlignment="1" applyProtection="1">
      <alignment horizontal="center" wrapText="1"/>
      <protection locked="0"/>
    </xf>
    <xf numFmtId="0" fontId="180" fillId="6" borderId="141" xfId="0" applyFont="1" applyFill="1" applyBorder="1" applyAlignment="1" applyProtection="1">
      <alignment horizontal="center" wrapText="1"/>
      <protection locked="0"/>
    </xf>
    <xf numFmtId="0" fontId="0" fillId="7" borderId="26" xfId="0" applyFill="1" applyBorder="1" applyAlignment="1" applyProtection="1">
      <alignment horizontal="center" vertical="center" wrapText="1"/>
      <protection locked="0"/>
    </xf>
    <xf numFmtId="0" fontId="0" fillId="7" borderId="31" xfId="0" applyFill="1" applyBorder="1" applyAlignment="1" applyProtection="1">
      <alignment horizontal="center" vertical="center" wrapText="1"/>
      <protection locked="0"/>
    </xf>
    <xf numFmtId="0" fontId="0" fillId="7" borderId="48" xfId="0" applyFill="1" applyBorder="1" applyAlignment="1" applyProtection="1">
      <alignment horizontal="center" vertical="center" wrapText="1"/>
      <protection locked="0"/>
    </xf>
    <xf numFmtId="0" fontId="147" fillId="63" borderId="105" xfId="0" applyFont="1" applyFill="1" applyBorder="1" applyAlignment="1" applyProtection="1">
      <alignment horizontal="center" vertical="center"/>
      <protection locked="0"/>
    </xf>
    <xf numFmtId="0" fontId="147" fillId="63" borderId="30" xfId="0" applyFont="1" applyFill="1" applyBorder="1" applyAlignment="1" applyProtection="1">
      <alignment horizontal="center" vertical="center"/>
      <protection locked="0"/>
    </xf>
    <xf numFmtId="0" fontId="147" fillId="63" borderId="58" xfId="0" applyFont="1" applyFill="1" applyBorder="1" applyAlignment="1" applyProtection="1">
      <alignment horizontal="center" vertical="center"/>
      <protection locked="0"/>
    </xf>
    <xf numFmtId="0" fontId="0" fillId="0" borderId="155" xfId="0" applyBorder="1" applyAlignment="1" applyProtection="1">
      <alignment horizontal="center"/>
      <protection locked="0"/>
    </xf>
    <xf numFmtId="0" fontId="0" fillId="7" borderId="155" xfId="0" applyFill="1" applyBorder="1" applyAlignment="1" applyProtection="1">
      <alignment horizontal="center" wrapText="1"/>
      <protection locked="0"/>
    </xf>
    <xf numFmtId="0" fontId="0" fillId="7" borderId="99" xfId="0" applyFill="1" applyBorder="1" applyAlignment="1" applyProtection="1">
      <alignment horizontal="center" wrapText="1"/>
      <protection locked="0"/>
    </xf>
    <xf numFmtId="0" fontId="147" fillId="63" borderId="292" xfId="0" applyFont="1" applyFill="1" applyBorder="1" applyAlignment="1" applyProtection="1">
      <alignment horizontal="center" vertical="center" wrapText="1"/>
      <protection locked="0"/>
    </xf>
    <xf numFmtId="0" fontId="147" fillId="63" borderId="293" xfId="0" applyFont="1" applyFill="1" applyBorder="1" applyAlignment="1" applyProtection="1">
      <alignment horizontal="center" vertical="center" wrapText="1"/>
      <protection locked="0"/>
    </xf>
    <xf numFmtId="0" fontId="147" fillId="63" borderId="294" xfId="0" applyFont="1" applyFill="1" applyBorder="1" applyAlignment="1" applyProtection="1">
      <alignment horizontal="center" vertical="center" wrapText="1"/>
      <protection locked="0"/>
    </xf>
    <xf numFmtId="0" fontId="0" fillId="7" borderId="295" xfId="0" applyFill="1" applyBorder="1" applyAlignment="1" applyProtection="1">
      <alignment horizontal="center" vertical="center" wrapText="1"/>
      <protection locked="0"/>
    </xf>
    <xf numFmtId="0" fontId="0" fillId="7" borderId="293" xfId="0" applyFill="1" applyBorder="1" applyAlignment="1" applyProtection="1">
      <alignment horizontal="center" vertical="center" wrapText="1"/>
      <protection locked="0"/>
    </xf>
    <xf numFmtId="0" fontId="0" fillId="7" borderId="296" xfId="0" applyFill="1" applyBorder="1" applyAlignment="1" applyProtection="1">
      <alignment horizontal="center" vertical="center" wrapText="1"/>
      <protection locked="0"/>
    </xf>
    <xf numFmtId="0" fontId="147" fillId="63" borderId="65" xfId="0" applyFont="1" applyFill="1" applyBorder="1" applyAlignment="1" applyProtection="1">
      <alignment horizontal="center" vertical="center" wrapText="1"/>
      <protection locked="0"/>
    </xf>
    <xf numFmtId="0" fontId="147" fillId="63" borderId="62" xfId="0" applyFont="1" applyFill="1" applyBorder="1" applyAlignment="1" applyProtection="1">
      <alignment horizontal="center" vertical="center" wrapText="1"/>
      <protection locked="0"/>
    </xf>
    <xf numFmtId="0" fontId="147" fillId="63" borderId="63" xfId="0" applyFont="1" applyFill="1" applyBorder="1" applyAlignment="1" applyProtection="1">
      <alignment horizontal="center" vertical="center" wrapText="1"/>
      <protection locked="0"/>
    </xf>
    <xf numFmtId="0" fontId="14" fillId="7" borderId="28" xfId="0" applyFont="1" applyFill="1" applyBorder="1" applyAlignment="1" applyProtection="1">
      <alignment horizontal="center" wrapText="1"/>
      <protection locked="0"/>
    </xf>
    <xf numFmtId="0" fontId="14" fillId="7" borderId="49" xfId="0" applyFont="1" applyFill="1" applyBorder="1" applyAlignment="1" applyProtection="1">
      <alignment horizontal="center" wrapText="1"/>
      <protection locked="0"/>
    </xf>
    <xf numFmtId="0" fontId="44" fillId="0" borderId="22" xfId="0" quotePrefix="1" applyFont="1" applyBorder="1" applyAlignment="1" applyProtection="1">
      <alignment horizontal="center"/>
      <protection locked="0"/>
    </xf>
    <xf numFmtId="0" fontId="44" fillId="0" borderId="22" xfId="0" applyFont="1" applyBorder="1" applyAlignment="1" applyProtection="1">
      <alignment horizontal="center"/>
      <protection locked="0"/>
    </xf>
    <xf numFmtId="0" fontId="14" fillId="7" borderId="26" xfId="0" applyFont="1" applyFill="1" applyBorder="1" applyAlignment="1" applyProtection="1">
      <alignment horizontal="center" wrapText="1"/>
      <protection locked="0"/>
    </xf>
    <xf numFmtId="0" fontId="14" fillId="7" borderId="31" xfId="0" applyFont="1" applyFill="1" applyBorder="1" applyAlignment="1" applyProtection="1">
      <alignment horizontal="center" wrapText="1"/>
      <protection locked="0"/>
    </xf>
    <xf numFmtId="0" fontId="14" fillId="7" borderId="48" xfId="0" applyFont="1" applyFill="1" applyBorder="1" applyAlignment="1" applyProtection="1">
      <alignment horizontal="center" wrapText="1"/>
      <protection locked="0"/>
    </xf>
    <xf numFmtId="0" fontId="42" fillId="63" borderId="65" xfId="0" applyFont="1" applyFill="1" applyBorder="1" applyAlignment="1" applyProtection="1">
      <alignment horizontal="center" vertical="top"/>
      <protection locked="0"/>
    </xf>
    <xf numFmtId="0" fontId="42" fillId="63" borderId="62" xfId="0" applyFont="1" applyFill="1" applyBorder="1" applyAlignment="1" applyProtection="1">
      <alignment horizontal="center" vertical="top"/>
      <protection locked="0"/>
    </xf>
    <xf numFmtId="0" fontId="42" fillId="63" borderId="63" xfId="0" applyFont="1" applyFill="1" applyBorder="1" applyAlignment="1" applyProtection="1">
      <alignment horizontal="center" vertical="top"/>
      <protection locked="0"/>
    </xf>
    <xf numFmtId="0" fontId="223" fillId="63" borderId="57" xfId="0" applyFont="1" applyFill="1" applyBorder="1" applyAlignment="1" applyProtection="1">
      <alignment horizontal="left" vertical="top" wrapText="1"/>
      <protection locked="0"/>
    </xf>
    <xf numFmtId="0" fontId="223" fillId="63" borderId="31" xfId="0" applyFont="1" applyFill="1" applyBorder="1" applyAlignment="1" applyProtection="1">
      <alignment horizontal="left" vertical="top" wrapText="1"/>
      <protection locked="0"/>
    </xf>
    <xf numFmtId="0" fontId="223" fillId="63" borderId="27" xfId="0" applyFont="1" applyFill="1" applyBorder="1" applyAlignment="1" applyProtection="1">
      <alignment horizontal="left" vertical="top" wrapText="1"/>
      <protection locked="0"/>
    </xf>
    <xf numFmtId="0" fontId="0" fillId="0" borderId="26" xfId="0" applyBorder="1" applyAlignment="1" applyProtection="1">
      <alignment horizontal="center"/>
      <protection locked="0"/>
    </xf>
    <xf numFmtId="166" fontId="14" fillId="7" borderId="308" xfId="0" applyNumberFormat="1" applyFont="1" applyFill="1" applyBorder="1" applyAlignment="1" applyProtection="1">
      <alignment horizontal="center" wrapText="1"/>
      <protection locked="0"/>
    </xf>
    <xf numFmtId="0" fontId="4" fillId="2" borderId="0" xfId="0" applyFont="1" applyFill="1" applyAlignment="1" applyProtection="1">
      <alignment horizontal="center" wrapText="1"/>
      <protection locked="0"/>
    </xf>
    <xf numFmtId="0" fontId="146" fillId="11" borderId="42" xfId="0" applyFont="1" applyFill="1" applyBorder="1" applyAlignment="1" applyProtection="1">
      <alignment horizontal="center" vertical="center"/>
      <protection locked="0"/>
    </xf>
    <xf numFmtId="0" fontId="146" fillId="11" borderId="43" xfId="0" applyFont="1" applyFill="1" applyBorder="1" applyAlignment="1" applyProtection="1">
      <alignment horizontal="center" vertical="center"/>
      <protection locked="0"/>
    </xf>
    <xf numFmtId="0" fontId="146" fillId="11" borderId="44" xfId="0" applyFont="1" applyFill="1" applyBorder="1" applyAlignment="1" applyProtection="1">
      <alignment horizontal="center" vertical="center"/>
      <protection locked="0"/>
    </xf>
    <xf numFmtId="0" fontId="147" fillId="63" borderId="65" xfId="0" applyFont="1" applyFill="1" applyBorder="1" applyAlignment="1" applyProtection="1">
      <alignment horizontal="left" vertical="center" wrapText="1"/>
      <protection locked="0"/>
    </xf>
    <xf numFmtId="0" fontId="147" fillId="63" borderId="62" xfId="0" applyFont="1" applyFill="1" applyBorder="1" applyAlignment="1" applyProtection="1">
      <alignment horizontal="left" vertical="center" wrapText="1"/>
      <protection locked="0"/>
    </xf>
    <xf numFmtId="0" fontId="147" fillId="63" borderId="63" xfId="0" applyFont="1" applyFill="1" applyBorder="1" applyAlignment="1" applyProtection="1">
      <alignment horizontal="left" vertical="center" wrapText="1"/>
      <protection locked="0"/>
    </xf>
    <xf numFmtId="0" fontId="14" fillId="7" borderId="59" xfId="0" applyFont="1" applyFill="1" applyBorder="1" applyAlignment="1" applyProtection="1">
      <alignment horizontal="center" wrapText="1"/>
      <protection locked="0"/>
    </xf>
    <xf numFmtId="0" fontId="14" fillId="7" borderId="60" xfId="0" applyFont="1" applyFill="1" applyBorder="1" applyAlignment="1" applyProtection="1">
      <alignment horizontal="center" wrapText="1"/>
      <protection locked="0"/>
    </xf>
    <xf numFmtId="0" fontId="14" fillId="7" borderId="61" xfId="0" applyFont="1" applyFill="1" applyBorder="1" applyAlignment="1" applyProtection="1">
      <alignment horizontal="center" wrapText="1"/>
      <protection locked="0"/>
    </xf>
    <xf numFmtId="0" fontId="65" fillId="7" borderId="22" xfId="0" applyFont="1" applyFill="1" applyBorder="1" applyAlignment="1" applyProtection="1">
      <alignment horizontal="center"/>
      <protection locked="0"/>
    </xf>
    <xf numFmtId="0" fontId="65" fillId="7" borderId="36" xfId="0" applyFont="1" applyFill="1" applyBorder="1" applyAlignment="1" applyProtection="1">
      <alignment horizontal="center"/>
      <protection locked="0"/>
    </xf>
    <xf numFmtId="0" fontId="146" fillId="11" borderId="33" xfId="0" applyFont="1" applyFill="1" applyBorder="1" applyAlignment="1" applyProtection="1">
      <alignment horizontal="center" vertical="center"/>
      <protection locked="0"/>
    </xf>
    <xf numFmtId="0" fontId="146" fillId="11" borderId="34" xfId="0" applyFont="1" applyFill="1" applyBorder="1" applyAlignment="1" applyProtection="1">
      <alignment horizontal="center" vertical="center"/>
      <protection locked="0"/>
    </xf>
    <xf numFmtId="0" fontId="0" fillId="0" borderId="27" xfId="0" applyBorder="1" applyAlignment="1" applyProtection="1">
      <alignment horizontal="center"/>
      <protection locked="0"/>
    </xf>
    <xf numFmtId="0" fontId="0" fillId="0" borderId="295" xfId="0" applyBorder="1" applyAlignment="1" applyProtection="1">
      <alignment horizontal="center"/>
      <protection locked="0"/>
    </xf>
    <xf numFmtId="0" fontId="0" fillId="0" borderId="294" xfId="0" applyBorder="1" applyAlignment="1" applyProtection="1">
      <alignment horizontal="center"/>
      <protection locked="0"/>
    </xf>
    <xf numFmtId="0" fontId="147" fillId="63" borderId="67" xfId="0" applyFont="1" applyFill="1" applyBorder="1" applyAlignment="1" applyProtection="1">
      <alignment horizontal="center" vertical="center"/>
      <protection locked="0"/>
    </xf>
    <xf numFmtId="0" fontId="147" fillId="63" borderId="60" xfId="0" applyFont="1" applyFill="1" applyBorder="1" applyAlignment="1" applyProtection="1">
      <alignment horizontal="center" vertical="center"/>
      <protection locked="0"/>
    </xf>
    <xf numFmtId="0" fontId="147" fillId="63" borderId="288" xfId="0" applyFont="1" applyFill="1" applyBorder="1" applyAlignment="1" applyProtection="1">
      <alignment horizontal="center" vertical="center"/>
      <protection locked="0"/>
    </xf>
    <xf numFmtId="0" fontId="65" fillId="7" borderId="155" xfId="0" applyFont="1" applyFill="1" applyBorder="1" applyAlignment="1" applyProtection="1">
      <alignment horizontal="center"/>
      <protection locked="0"/>
    </xf>
    <xf numFmtId="0" fontId="65" fillId="7" borderId="99" xfId="0" applyFont="1" applyFill="1" applyBorder="1" applyAlignment="1" applyProtection="1">
      <alignment horizontal="center"/>
      <protection locked="0"/>
    </xf>
    <xf numFmtId="0" fontId="0" fillId="0" borderId="59" xfId="0" applyBorder="1" applyAlignment="1" applyProtection="1">
      <alignment horizontal="center"/>
      <protection locked="0"/>
    </xf>
    <xf numFmtId="0" fontId="0" fillId="0" borderId="288" xfId="0" applyBorder="1" applyAlignment="1" applyProtection="1">
      <alignment horizontal="center"/>
      <protection locked="0"/>
    </xf>
    <xf numFmtId="166" fontId="14" fillId="7" borderId="327" xfId="0" applyNumberFormat="1" applyFont="1" applyFill="1" applyBorder="1" applyAlignment="1" applyProtection="1">
      <alignment horizontal="center" wrapText="1"/>
      <protection locked="0"/>
    </xf>
    <xf numFmtId="166" fontId="14" fillId="7" borderId="328" xfId="0" applyNumberFormat="1" applyFont="1" applyFill="1" applyBorder="1" applyAlignment="1" applyProtection="1">
      <alignment horizontal="center" wrapText="1"/>
      <protection locked="0"/>
    </xf>
    <xf numFmtId="166" fontId="14" fillId="7" borderId="329" xfId="0" applyNumberFormat="1" applyFont="1" applyFill="1" applyBorder="1" applyAlignment="1" applyProtection="1">
      <alignment horizontal="center" wrapText="1"/>
      <protection locked="0"/>
    </xf>
    <xf numFmtId="0" fontId="4" fillId="2" borderId="37" xfId="0" applyFont="1" applyFill="1" applyBorder="1" applyAlignment="1" applyProtection="1">
      <alignment horizontal="left" wrapText="1"/>
      <protection locked="0"/>
    </xf>
    <xf numFmtId="0" fontId="4" fillId="2" borderId="0" xfId="0" applyFont="1" applyFill="1" applyAlignment="1" applyProtection="1">
      <alignment horizontal="left" wrapText="1"/>
      <protection locked="0"/>
    </xf>
    <xf numFmtId="0" fontId="147" fillId="2" borderId="45" xfId="0" applyFont="1" applyFill="1" applyBorder="1" applyAlignment="1" applyProtection="1">
      <alignment horizontal="center"/>
      <protection locked="0"/>
    </xf>
    <xf numFmtId="0" fontId="147" fillId="2" borderId="23" xfId="0" applyFont="1" applyFill="1" applyBorder="1" applyAlignment="1" applyProtection="1">
      <alignment horizontal="center"/>
      <protection locked="0"/>
    </xf>
    <xf numFmtId="0" fontId="147" fillId="2" borderId="29" xfId="0" applyFont="1" applyFill="1" applyBorder="1" applyAlignment="1" applyProtection="1">
      <alignment horizontal="center"/>
      <protection locked="0"/>
    </xf>
    <xf numFmtId="0" fontId="42" fillId="6" borderId="42" xfId="0" applyFont="1" applyFill="1" applyBorder="1" applyAlignment="1" applyProtection="1">
      <alignment horizontal="center"/>
      <protection locked="0"/>
    </xf>
    <xf numFmtId="0" fontId="42" fillId="6" borderId="43" xfId="0" applyFont="1" applyFill="1" applyBorder="1" applyAlignment="1" applyProtection="1">
      <alignment horizontal="center"/>
      <protection locked="0"/>
    </xf>
    <xf numFmtId="0" fontId="65" fillId="7" borderId="43" xfId="0" applyFont="1" applyFill="1" applyBorder="1" applyAlignment="1" applyProtection="1">
      <alignment horizontal="center" vertical="top" wrapText="1"/>
      <protection locked="0"/>
    </xf>
    <xf numFmtId="0" fontId="65" fillId="7" borderId="44" xfId="0" applyFont="1" applyFill="1" applyBorder="1" applyAlignment="1" applyProtection="1">
      <alignment horizontal="center" vertical="top" wrapText="1"/>
      <protection locked="0"/>
    </xf>
    <xf numFmtId="0" fontId="146" fillId="11" borderId="161" xfId="0" applyFont="1" applyFill="1" applyBorder="1" applyAlignment="1" applyProtection="1">
      <alignment horizontal="center" vertical="center"/>
      <protection locked="0"/>
    </xf>
    <xf numFmtId="0" fontId="146" fillId="11" borderId="110" xfId="0" applyFont="1" applyFill="1" applyBorder="1" applyAlignment="1" applyProtection="1">
      <alignment horizontal="center" vertical="center"/>
      <protection locked="0"/>
    </xf>
    <xf numFmtId="0" fontId="146" fillId="11" borderId="123" xfId="0" applyFont="1" applyFill="1" applyBorder="1" applyAlignment="1" applyProtection="1">
      <alignment horizontal="center" vertical="center"/>
      <protection locked="0"/>
    </xf>
    <xf numFmtId="0" fontId="146" fillId="11" borderId="121" xfId="0" applyFont="1" applyFill="1" applyBorder="1" applyAlignment="1" applyProtection="1">
      <alignment horizontal="center" vertical="center"/>
      <protection locked="0"/>
    </xf>
    <xf numFmtId="0" fontId="146" fillId="11" borderId="162" xfId="0" applyFont="1" applyFill="1" applyBorder="1" applyAlignment="1" applyProtection="1">
      <alignment horizontal="center" vertical="center"/>
      <protection locked="0"/>
    </xf>
    <xf numFmtId="0" fontId="147" fillId="62" borderId="65" xfId="0" applyFont="1" applyFill="1" applyBorder="1" applyAlignment="1" applyProtection="1">
      <alignment horizontal="center"/>
      <protection locked="0"/>
    </xf>
    <xf numFmtId="0" fontId="147" fillId="62" borderId="62" xfId="0" applyFont="1" applyFill="1" applyBorder="1" applyAlignment="1" applyProtection="1">
      <alignment horizontal="center"/>
      <protection locked="0"/>
    </xf>
    <xf numFmtId="0" fontId="147" fillId="62" borderId="66" xfId="0" applyFont="1" applyFill="1" applyBorder="1" applyAlignment="1" applyProtection="1">
      <alignment horizontal="center"/>
      <protection locked="0"/>
    </xf>
    <xf numFmtId="0" fontId="229" fillId="63" borderId="35" xfId="0" applyFont="1" applyFill="1" applyBorder="1" applyAlignment="1" applyProtection="1">
      <alignment horizontal="right"/>
      <protection locked="0"/>
    </xf>
    <xf numFmtId="0" fontId="229" fillId="63" borderId="22" xfId="0" applyFont="1" applyFill="1" applyBorder="1" applyAlignment="1" applyProtection="1">
      <alignment horizontal="right"/>
      <protection locked="0"/>
    </xf>
    <xf numFmtId="0" fontId="229" fillId="63" borderId="24" xfId="0" applyFont="1" applyFill="1" applyBorder="1" applyAlignment="1" applyProtection="1">
      <alignment horizontal="right"/>
      <protection locked="0"/>
    </xf>
    <xf numFmtId="0" fontId="150" fillId="63" borderId="35" xfId="0" applyFont="1" applyFill="1" applyBorder="1" applyAlignment="1" applyProtection="1">
      <alignment horizontal="right"/>
      <protection locked="0"/>
    </xf>
    <xf numFmtId="0" fontId="150" fillId="63" borderId="22" xfId="0" applyFont="1" applyFill="1" applyBorder="1" applyAlignment="1" applyProtection="1">
      <alignment horizontal="right"/>
      <protection locked="0"/>
    </xf>
    <xf numFmtId="0" fontId="150" fillId="63" borderId="24" xfId="0" applyFont="1" applyFill="1" applyBorder="1" applyAlignment="1" applyProtection="1">
      <alignment horizontal="right"/>
      <protection locked="0"/>
    </xf>
    <xf numFmtId="0" fontId="45" fillId="2" borderId="399" xfId="0" applyFont="1" applyFill="1" applyBorder="1" applyAlignment="1" applyProtection="1">
      <alignment horizontal="center"/>
      <protection locked="0"/>
    </xf>
    <xf numFmtId="0" fontId="45" fillId="2" borderId="400" xfId="0" applyFont="1" applyFill="1" applyBorder="1" applyAlignment="1" applyProtection="1">
      <alignment horizontal="center"/>
      <protection locked="0"/>
    </xf>
    <xf numFmtId="0" fontId="45" fillId="2" borderId="401" xfId="0" applyFont="1" applyFill="1" applyBorder="1" applyAlignment="1" applyProtection="1">
      <alignment horizontal="center"/>
      <protection locked="0"/>
    </xf>
    <xf numFmtId="0" fontId="147" fillId="63" borderId="65" xfId="0" applyFont="1" applyFill="1" applyBorder="1" applyAlignment="1" applyProtection="1">
      <alignment horizontal="center" vertical="top" wrapText="1"/>
      <protection locked="0"/>
    </xf>
    <xf numFmtId="0" fontId="147" fillId="63" borderId="62" xfId="0" applyFont="1" applyFill="1" applyBorder="1" applyAlignment="1" applyProtection="1">
      <alignment horizontal="center" vertical="top" wrapText="1"/>
      <protection locked="0"/>
    </xf>
    <xf numFmtId="0" fontId="147" fillId="63" borderId="63" xfId="0" applyFont="1" applyFill="1" applyBorder="1" applyAlignment="1" applyProtection="1">
      <alignment horizontal="center" vertical="top" wrapText="1"/>
      <protection locked="0"/>
    </xf>
    <xf numFmtId="0" fontId="147" fillId="63" borderId="57" xfId="0" applyFont="1" applyFill="1" applyBorder="1" applyAlignment="1" applyProtection="1">
      <alignment horizontal="left" vertical="top"/>
      <protection locked="0"/>
    </xf>
    <xf numFmtId="0" fontId="147" fillId="63" borderId="31" xfId="0" applyFont="1" applyFill="1" applyBorder="1" applyAlignment="1" applyProtection="1">
      <alignment horizontal="left" vertical="top"/>
      <protection locked="0"/>
    </xf>
    <xf numFmtId="0" fontId="147" fillId="63" borderId="27" xfId="0" applyFont="1" applyFill="1" applyBorder="1" applyAlignment="1" applyProtection="1">
      <alignment horizontal="left" vertical="top"/>
      <protection locked="0"/>
    </xf>
    <xf numFmtId="0" fontId="238" fillId="2" borderId="26" xfId="0" applyFont="1" applyFill="1" applyBorder="1" applyAlignment="1" applyProtection="1">
      <alignment horizontal="left" vertical="center"/>
      <protection locked="0"/>
    </xf>
    <xf numFmtId="0" fontId="238" fillId="2" borderId="437" xfId="0" applyFont="1" applyFill="1" applyBorder="1" applyAlignment="1" applyProtection="1">
      <alignment horizontal="left" vertical="center"/>
      <protection locked="0"/>
    </xf>
    <xf numFmtId="0" fontId="42" fillId="63" borderId="436" xfId="0" applyFont="1" applyFill="1" applyBorder="1" applyAlignment="1">
      <alignment horizontal="right"/>
    </xf>
    <xf numFmtId="0" fontId="42" fillId="63" borderId="22" xfId="0" applyFont="1" applyFill="1" applyBorder="1" applyAlignment="1">
      <alignment horizontal="right"/>
    </xf>
    <xf numFmtId="0" fontId="0" fillId="7" borderId="327" xfId="0" applyFill="1" applyBorder="1" applyAlignment="1" applyProtection="1">
      <alignment horizontal="center" wrapText="1"/>
      <protection locked="0"/>
    </xf>
    <xf numFmtId="0" fontId="0" fillId="7" borderId="328" xfId="0" applyFill="1" applyBorder="1" applyAlignment="1" applyProtection="1">
      <alignment horizontal="center" wrapText="1"/>
      <protection locked="0"/>
    </xf>
    <xf numFmtId="0" fontId="0" fillId="7" borderId="329" xfId="0" applyFill="1" applyBorder="1" applyAlignment="1" applyProtection="1">
      <alignment horizontal="center" wrapText="1"/>
      <protection locked="0"/>
    </xf>
    <xf numFmtId="0" fontId="147" fillId="63" borderId="65" xfId="0" applyFont="1" applyFill="1" applyBorder="1" applyAlignment="1" applyProtection="1">
      <alignment horizontal="center" vertical="center"/>
      <protection locked="0"/>
    </xf>
    <xf numFmtId="0" fontId="147" fillId="63" borderId="62" xfId="0" applyFont="1" applyFill="1" applyBorder="1" applyAlignment="1" applyProtection="1">
      <alignment horizontal="center" vertical="center"/>
      <protection locked="0"/>
    </xf>
    <xf numFmtId="0" fontId="147" fillId="63" borderId="63" xfId="0" applyFont="1" applyFill="1" applyBorder="1" applyAlignment="1" applyProtection="1">
      <alignment horizontal="center" vertical="center"/>
      <protection locked="0"/>
    </xf>
    <xf numFmtId="0" fontId="0" fillId="0" borderId="327" xfId="0" applyBorder="1" applyAlignment="1" applyProtection="1">
      <alignment horizontal="center"/>
      <protection locked="0"/>
    </xf>
    <xf numFmtId="0" fontId="0" fillId="0" borderId="329" xfId="0" applyBorder="1" applyAlignment="1" applyProtection="1">
      <alignment horizontal="center"/>
      <protection locked="0"/>
    </xf>
    <xf numFmtId="0" fontId="0" fillId="7" borderId="28" xfId="0" applyFill="1" applyBorder="1" applyAlignment="1" applyProtection="1">
      <alignment horizontal="center" wrapText="1"/>
      <protection locked="0"/>
    </xf>
    <xf numFmtId="0" fontId="0" fillId="7" borderId="49" xfId="0" applyFill="1" applyBorder="1" applyAlignment="1" applyProtection="1">
      <alignment horizontal="center" wrapText="1"/>
      <protection locked="0"/>
    </xf>
    <xf numFmtId="0" fontId="111" fillId="2" borderId="347" xfId="0" applyFont="1" applyFill="1" applyBorder="1" applyAlignment="1" applyProtection="1">
      <alignment horizontal="right" vertical="center" wrapText="1"/>
      <protection locked="0"/>
    </xf>
    <xf numFmtId="0" fontId="111" fillId="2" borderId="46" xfId="0" applyFont="1" applyFill="1" applyBorder="1" applyAlignment="1" applyProtection="1">
      <alignment horizontal="right" vertical="center" wrapText="1"/>
      <protection locked="0"/>
    </xf>
    <xf numFmtId="0" fontId="195" fillId="2" borderId="46" xfId="0" applyFont="1" applyFill="1" applyBorder="1" applyAlignment="1" applyProtection="1">
      <alignment horizontal="center"/>
      <protection locked="0"/>
    </xf>
    <xf numFmtId="0" fontId="45" fillId="2" borderId="116" xfId="0" applyFont="1" applyFill="1" applyBorder="1" applyAlignment="1" applyProtection="1">
      <alignment horizontal="center"/>
      <protection locked="0"/>
    </xf>
    <xf numFmtId="0" fontId="45" fillId="2" borderId="117" xfId="0" applyFont="1" applyFill="1" applyBorder="1" applyAlignment="1" applyProtection="1">
      <alignment horizontal="center"/>
      <protection locked="0"/>
    </xf>
    <xf numFmtId="0" fontId="45" fillId="2" borderId="118" xfId="0" applyFont="1" applyFill="1" applyBorder="1" applyAlignment="1" applyProtection="1">
      <alignment horizontal="center"/>
      <protection locked="0"/>
    </xf>
    <xf numFmtId="0" fontId="146" fillId="11" borderId="167" xfId="0" applyFont="1" applyFill="1" applyBorder="1" applyAlignment="1" applyProtection="1">
      <alignment horizontal="center" vertical="center"/>
      <protection locked="0"/>
    </xf>
    <xf numFmtId="0" fontId="146" fillId="11" borderId="168" xfId="0" applyFont="1" applyFill="1" applyBorder="1" applyAlignment="1" applyProtection="1">
      <alignment horizontal="center" vertical="center"/>
      <protection locked="0"/>
    </xf>
    <xf numFmtId="0" fontId="147" fillId="63" borderId="65" xfId="0" applyFont="1" applyFill="1" applyBorder="1" applyAlignment="1" applyProtection="1">
      <alignment horizontal="center" vertical="top"/>
      <protection locked="0"/>
    </xf>
    <xf numFmtId="0" fontId="147" fillId="63" borderId="62" xfId="0" applyFont="1" applyFill="1" applyBorder="1" applyAlignment="1" applyProtection="1">
      <alignment horizontal="center" vertical="top"/>
      <protection locked="0"/>
    </xf>
    <xf numFmtId="0" fontId="147" fillId="63" borderId="63" xfId="0" applyFont="1" applyFill="1" applyBorder="1" applyAlignment="1" applyProtection="1">
      <alignment horizontal="center" vertical="top"/>
      <protection locked="0"/>
    </xf>
    <xf numFmtId="0" fontId="183" fillId="63" borderId="331" xfId="0" applyFont="1" applyFill="1" applyBorder="1" applyAlignment="1" applyProtection="1">
      <alignment horizontal="right" vertical="center" wrapText="1"/>
      <protection locked="0"/>
    </xf>
    <xf numFmtId="0" fontId="183" fillId="63" borderId="306" xfId="0" applyFont="1" applyFill="1" applyBorder="1" applyAlignment="1" applyProtection="1">
      <alignment horizontal="right" vertical="center" wrapText="1"/>
      <protection locked="0"/>
    </xf>
    <xf numFmtId="0" fontId="45" fillId="2" borderId="125" xfId="0" applyFont="1" applyFill="1" applyBorder="1" applyAlignment="1" applyProtection="1">
      <alignment horizontal="center"/>
      <protection locked="0"/>
    </xf>
    <xf numFmtId="0" fontId="159" fillId="6" borderId="22" xfId="0" applyFont="1" applyFill="1" applyBorder="1" applyAlignment="1" applyProtection="1">
      <alignment horizontal="center"/>
      <protection locked="0"/>
    </xf>
    <xf numFmtId="0" fontId="205" fillId="6" borderId="22" xfId="0" applyFont="1" applyFill="1" applyBorder="1" applyAlignment="1" applyProtection="1">
      <alignment horizontal="center"/>
      <protection locked="0"/>
    </xf>
    <xf numFmtId="0" fontId="183" fillId="63" borderId="407" xfId="0" applyFont="1" applyFill="1" applyBorder="1" applyAlignment="1" applyProtection="1">
      <alignment horizontal="right" vertical="center" wrapText="1"/>
      <protection locked="0"/>
    </xf>
    <xf numFmtId="176" fontId="233" fillId="2" borderId="327" xfId="0" applyNumberFormat="1" applyFont="1" applyFill="1" applyBorder="1" applyAlignment="1">
      <alignment horizontal="center"/>
    </xf>
    <xf numFmtId="176" fontId="233" fillId="2" borderId="329" xfId="0" applyNumberFormat="1" applyFont="1" applyFill="1" applyBorder="1" applyAlignment="1">
      <alignment horizontal="center"/>
    </xf>
    <xf numFmtId="0" fontId="210" fillId="63" borderId="208" xfId="0" applyFont="1" applyFill="1" applyBorder="1" applyAlignment="1" applyProtection="1">
      <alignment horizontal="right" vertical="center" wrapText="1"/>
      <protection locked="0"/>
    </xf>
    <xf numFmtId="0" fontId="210" fillId="63" borderId="62" xfId="0" applyFont="1" applyFill="1" applyBorder="1" applyAlignment="1" applyProtection="1">
      <alignment horizontal="right" vertical="center" wrapText="1"/>
      <protection locked="0"/>
    </xf>
    <xf numFmtId="164" fontId="0" fillId="10" borderId="327" xfId="0" applyNumberFormat="1" applyFill="1" applyBorder="1" applyAlignment="1">
      <alignment horizontal="center"/>
    </xf>
    <xf numFmtId="0" fontId="0" fillId="0" borderId="329" xfId="0" applyBorder="1" applyAlignment="1">
      <alignment horizontal="center"/>
    </xf>
    <xf numFmtId="0" fontId="222" fillId="65" borderId="408" xfId="0" applyFont="1" applyFill="1" applyBorder="1" applyAlignment="1" applyProtection="1">
      <alignment horizontal="right" vertical="center" wrapText="1"/>
      <protection locked="0"/>
    </xf>
    <xf numFmtId="0" fontId="222" fillId="65" borderId="24" xfId="0" applyFont="1" applyFill="1" applyBorder="1" applyAlignment="1" applyProtection="1">
      <alignment horizontal="right" vertical="center" wrapText="1"/>
      <protection locked="0"/>
    </xf>
    <xf numFmtId="0" fontId="222" fillId="65" borderId="62" xfId="0" applyFont="1" applyFill="1" applyBorder="1" applyAlignment="1" applyProtection="1">
      <alignment horizontal="right" vertical="center" wrapText="1"/>
      <protection locked="0"/>
    </xf>
    <xf numFmtId="0" fontId="222" fillId="65" borderId="63" xfId="0" applyFont="1" applyFill="1" applyBorder="1" applyAlignment="1" applyProtection="1">
      <alignment horizontal="right" vertical="center" wrapText="1"/>
      <protection locked="0"/>
    </xf>
    <xf numFmtId="0" fontId="183" fillId="63" borderId="22" xfId="0" applyFont="1" applyFill="1" applyBorder="1" applyAlignment="1" applyProtection="1">
      <alignment horizontal="right" vertical="center" wrapText="1"/>
      <protection locked="0"/>
    </xf>
    <xf numFmtId="0" fontId="225" fillId="63" borderId="28" xfId="0" applyFont="1" applyFill="1" applyBorder="1" applyAlignment="1" applyProtection="1">
      <alignment horizontal="center" vertical="center" wrapText="1"/>
      <protection locked="0"/>
    </xf>
    <xf numFmtId="0" fontId="225" fillId="63" borderId="22" xfId="0" applyFont="1" applyFill="1" applyBorder="1" applyAlignment="1" applyProtection="1">
      <alignment horizontal="center" vertical="center" wrapText="1"/>
      <protection locked="0"/>
    </xf>
    <xf numFmtId="0" fontId="183" fillId="62" borderId="28" xfId="0" applyFont="1" applyFill="1" applyBorder="1" applyAlignment="1" applyProtection="1">
      <alignment horizontal="center" vertical="center" wrapText="1"/>
      <protection locked="0"/>
    </xf>
    <xf numFmtId="0" fontId="183" fillId="63" borderId="24" xfId="0" applyFont="1" applyFill="1" applyBorder="1" applyAlignment="1" applyProtection="1">
      <alignment horizontal="right" vertical="center" wrapText="1"/>
      <protection locked="0"/>
    </xf>
    <xf numFmtId="0" fontId="183" fillId="63" borderId="63" xfId="0" applyFont="1" applyFill="1" applyBorder="1" applyAlignment="1" applyProtection="1">
      <alignment horizontal="right" vertical="center" wrapText="1"/>
      <protection locked="0"/>
    </xf>
    <xf numFmtId="0" fontId="236" fillId="62" borderId="418" xfId="0" applyFont="1" applyFill="1" applyBorder="1" applyAlignment="1" applyProtection="1">
      <alignment horizontal="center" vertical="center" wrapText="1"/>
      <protection locked="0"/>
    </xf>
    <xf numFmtId="0" fontId="14" fillId="0" borderId="419" xfId="0" applyFont="1" applyBorder="1" applyAlignment="1">
      <alignment horizontal="center" vertical="center" wrapText="1"/>
    </xf>
    <xf numFmtId="0" fontId="14" fillId="0" borderId="420" xfId="0" applyFont="1" applyBorder="1" applyAlignment="1">
      <alignment horizontal="center" vertical="center" wrapText="1"/>
    </xf>
    <xf numFmtId="0" fontId="163" fillId="2" borderId="210" xfId="0" applyFont="1" applyFill="1" applyBorder="1" applyAlignment="1" applyProtection="1">
      <alignment horizontal="left" vertical="center" wrapText="1"/>
      <protection locked="0"/>
    </xf>
    <xf numFmtId="0" fontId="163" fillId="2" borderId="21" xfId="0" applyFont="1" applyFill="1" applyBorder="1" applyAlignment="1" applyProtection="1">
      <alignment horizontal="left" vertical="center" wrapText="1"/>
      <protection locked="0"/>
    </xf>
    <xf numFmtId="0" fontId="164" fillId="11" borderId="22" xfId="0" applyFont="1" applyFill="1" applyBorder="1" applyAlignment="1" applyProtection="1">
      <alignment horizontal="center"/>
      <protection locked="0"/>
    </xf>
    <xf numFmtId="0" fontId="210" fillId="63" borderId="22" xfId="0" applyFont="1" applyFill="1" applyBorder="1" applyAlignment="1" applyProtection="1">
      <alignment horizontal="right" vertical="center" wrapText="1"/>
      <protection locked="0"/>
    </xf>
    <xf numFmtId="0" fontId="190" fillId="63" borderId="22" xfId="0" applyFont="1" applyFill="1" applyBorder="1" applyAlignment="1" applyProtection="1">
      <alignment horizontal="right" vertical="center" wrapText="1"/>
      <protection locked="0"/>
    </xf>
    <xf numFmtId="0" fontId="163" fillId="2" borderId="75" xfId="0" applyFont="1" applyFill="1" applyBorder="1" applyAlignment="1" applyProtection="1">
      <alignment horizontal="left" vertical="center" wrapText="1"/>
      <protection locked="0"/>
    </xf>
    <xf numFmtId="0" fontId="0" fillId="2" borderId="209" xfId="0" applyFill="1" applyBorder="1" applyAlignment="1">
      <alignment horizontal="left" vertical="center" wrapText="1"/>
    </xf>
    <xf numFmtId="0" fontId="0" fillId="2" borderId="210" xfId="0" applyFill="1" applyBorder="1" applyAlignment="1">
      <alignment horizontal="left" vertical="center" wrapText="1"/>
    </xf>
    <xf numFmtId="0" fontId="164" fillId="2" borderId="348" xfId="0" applyFont="1" applyFill="1" applyBorder="1" applyAlignment="1" applyProtection="1">
      <alignment horizontal="center" vertical="center"/>
      <protection locked="0"/>
    </xf>
    <xf numFmtId="0" fontId="164" fillId="2" borderId="51" xfId="0" applyFont="1" applyFill="1" applyBorder="1" applyAlignment="1" applyProtection="1">
      <alignment horizontal="center" vertical="center"/>
      <protection locked="0"/>
    </xf>
    <xf numFmtId="0" fontId="164" fillId="2" borderId="349" xfId="0" applyFont="1" applyFill="1" applyBorder="1" applyAlignment="1" applyProtection="1">
      <alignment horizontal="center" vertical="center"/>
      <protection locked="0"/>
    </xf>
    <xf numFmtId="0" fontId="187" fillId="64" borderId="28" xfId="0" applyFont="1" applyFill="1" applyBorder="1" applyAlignment="1" applyProtection="1">
      <alignment horizontal="center" vertical="center" wrapText="1"/>
      <protection locked="0"/>
    </xf>
    <xf numFmtId="0" fontId="163" fillId="2" borderId="210" xfId="2" applyFont="1" applyFill="1" applyBorder="1" applyAlignment="1" applyProtection="1">
      <alignment horizontal="left" vertical="center" wrapText="1"/>
      <protection locked="0"/>
    </xf>
    <xf numFmtId="0" fontId="163" fillId="2" borderId="21" xfId="2" applyFont="1" applyFill="1" applyBorder="1" applyAlignment="1" applyProtection="1">
      <alignment horizontal="left" vertical="center" wrapText="1"/>
      <protection locked="0"/>
    </xf>
    <xf numFmtId="0" fontId="187" fillId="2" borderId="22" xfId="0" applyFont="1" applyFill="1" applyBorder="1" applyAlignment="1" applyProtection="1">
      <alignment horizontal="center" vertical="center" wrapText="1"/>
      <protection locked="0"/>
    </xf>
    <xf numFmtId="17" fontId="187" fillId="2" borderId="22" xfId="0" applyNumberFormat="1" applyFont="1" applyFill="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45" fillId="2" borderId="209" xfId="0" applyFont="1" applyFill="1" applyBorder="1" applyAlignment="1" applyProtection="1">
      <alignment horizontal="center"/>
      <protection locked="0"/>
    </xf>
    <xf numFmtId="0" fontId="45" fillId="2" borderId="210" xfId="0" applyFont="1" applyFill="1" applyBorder="1" applyAlignment="1" applyProtection="1">
      <alignment horizontal="center"/>
      <protection locked="0"/>
    </xf>
    <xf numFmtId="0" fontId="187" fillId="0" borderId="22" xfId="0" applyFont="1" applyBorder="1" applyAlignment="1" applyProtection="1">
      <alignment horizontal="center" vertical="center" wrapText="1"/>
      <protection locked="0"/>
    </xf>
    <xf numFmtId="0" fontId="163" fillId="2" borderId="75" xfId="2" applyFont="1" applyFill="1" applyBorder="1" applyAlignment="1" applyProtection="1">
      <alignment horizontal="left" vertical="center" wrapText="1"/>
      <protection locked="0"/>
    </xf>
    <xf numFmtId="0" fontId="0" fillId="0" borderId="209" xfId="0" applyBorder="1" applyAlignment="1">
      <alignment horizontal="left" vertical="center" wrapText="1"/>
    </xf>
    <xf numFmtId="0" fontId="0" fillId="0" borderId="210" xfId="0" applyBorder="1" applyAlignment="1">
      <alignment horizontal="left" vertical="center" wrapText="1"/>
    </xf>
    <xf numFmtId="0" fontId="4" fillId="2" borderId="0" xfId="0" applyFont="1" applyFill="1" applyAlignment="1" applyProtection="1">
      <alignment horizontal="center" vertical="top" wrapText="1"/>
      <protection locked="0"/>
    </xf>
    <xf numFmtId="0" fontId="187" fillId="0" borderId="46"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163" fillId="2" borderId="210" xfId="0" quotePrefix="1" applyFont="1" applyFill="1" applyBorder="1" applyAlignment="1" applyProtection="1">
      <alignment horizontal="left" vertical="center" wrapText="1"/>
      <protection locked="0"/>
    </xf>
    <xf numFmtId="0" fontId="163" fillId="2" borderId="210" xfId="0" applyFont="1" applyFill="1" applyBorder="1" applyAlignment="1" applyProtection="1">
      <alignment horizontal="center" vertical="center"/>
      <protection locked="0"/>
    </xf>
    <xf numFmtId="0" fontId="163" fillId="2" borderId="21" xfId="0" applyFont="1" applyFill="1" applyBorder="1" applyAlignment="1" applyProtection="1">
      <alignment horizontal="center" vertical="center"/>
      <protection locked="0"/>
    </xf>
    <xf numFmtId="0" fontId="164" fillId="64" borderId="348" xfId="0" applyFont="1" applyFill="1" applyBorder="1" applyAlignment="1" applyProtection="1">
      <alignment horizontal="center" vertical="center"/>
      <protection locked="0"/>
    </xf>
    <xf numFmtId="0" fontId="164" fillId="64" borderId="51" xfId="0" applyFont="1" applyFill="1" applyBorder="1" applyAlignment="1" applyProtection="1">
      <alignment horizontal="center" vertical="center"/>
      <protection locked="0"/>
    </xf>
    <xf numFmtId="0" fontId="164" fillId="64" borderId="349" xfId="0" applyFont="1" applyFill="1" applyBorder="1" applyAlignment="1" applyProtection="1">
      <alignment horizontal="center" vertical="center"/>
      <protection locked="0"/>
    </xf>
    <xf numFmtId="0" fontId="201" fillId="7" borderId="43" xfId="0" applyFont="1" applyFill="1" applyBorder="1" applyAlignment="1" applyProtection="1">
      <alignment horizontal="left" vertical="center" wrapText="1"/>
      <protection locked="0"/>
    </xf>
    <xf numFmtId="0" fontId="201" fillId="7" borderId="43" xfId="0" applyFont="1" applyFill="1" applyBorder="1" applyAlignment="1" applyProtection="1">
      <alignment horizontal="left" vertical="center"/>
      <protection locked="0"/>
    </xf>
    <xf numFmtId="0" fontId="164" fillId="64" borderId="32" xfId="0" applyFont="1" applyFill="1" applyBorder="1" applyAlignment="1" applyProtection="1">
      <alignment horizontal="center" vertical="center" wrapText="1"/>
      <protection locked="0"/>
    </xf>
    <xf numFmtId="0" fontId="164" fillId="64" borderId="33" xfId="0" applyFont="1" applyFill="1" applyBorder="1" applyAlignment="1" applyProtection="1">
      <alignment horizontal="center" vertical="center" wrapText="1"/>
      <protection locked="0"/>
    </xf>
    <xf numFmtId="0" fontId="164" fillId="64" borderId="34" xfId="0" applyFont="1" applyFill="1" applyBorder="1" applyAlignment="1" applyProtection="1">
      <alignment horizontal="center" vertical="center" wrapText="1"/>
      <protection locked="0"/>
    </xf>
    <xf numFmtId="0" fontId="43" fillId="2" borderId="43" xfId="0" applyFont="1" applyFill="1" applyBorder="1" applyAlignment="1" applyProtection="1">
      <alignment horizontal="center" vertical="center" wrapText="1"/>
      <protection locked="0"/>
    </xf>
    <xf numFmtId="0" fontId="183" fillId="64" borderId="32" xfId="0" applyFont="1" applyFill="1" applyBorder="1" applyAlignment="1" applyProtection="1">
      <alignment horizontal="center" vertical="center"/>
      <protection locked="0"/>
    </xf>
    <xf numFmtId="0" fontId="183" fillId="64" borderId="351" xfId="0" applyFont="1" applyFill="1" applyBorder="1" applyAlignment="1" applyProtection="1">
      <alignment horizontal="center" vertical="center"/>
      <protection locked="0"/>
    </xf>
    <xf numFmtId="0" fontId="183" fillId="64" borderId="37" xfId="0" applyFont="1" applyFill="1" applyBorder="1" applyAlignment="1" applyProtection="1">
      <alignment horizontal="center" vertical="center"/>
      <protection locked="0"/>
    </xf>
    <xf numFmtId="0" fontId="183" fillId="64" borderId="70" xfId="0" applyFont="1" applyFill="1" applyBorder="1" applyAlignment="1" applyProtection="1">
      <alignment horizontal="center" vertical="center"/>
      <protection locked="0"/>
    </xf>
    <xf numFmtId="0" fontId="164" fillId="64" borderId="356" xfId="0" applyFont="1" applyFill="1" applyBorder="1" applyAlignment="1" applyProtection="1">
      <alignment horizontal="center" vertical="center"/>
      <protection locked="0"/>
    </xf>
    <xf numFmtId="0" fontId="164" fillId="64" borderId="165" xfId="0" applyFont="1" applyFill="1" applyBorder="1" applyAlignment="1" applyProtection="1">
      <alignment horizontal="center" vertical="center"/>
      <protection locked="0"/>
    </xf>
    <xf numFmtId="0" fontId="164" fillId="64" borderId="166" xfId="0" applyFont="1" applyFill="1" applyBorder="1" applyAlignment="1" applyProtection="1">
      <alignment horizontal="center" vertical="center"/>
      <protection locked="0"/>
    </xf>
    <xf numFmtId="0" fontId="231" fillId="2" borderId="40" xfId="0" applyFont="1" applyFill="1" applyBorder="1" applyAlignment="1" applyProtection="1">
      <alignment horizontal="left" vertical="top" wrapText="1"/>
      <protection locked="0"/>
    </xf>
    <xf numFmtId="0" fontId="164" fillId="64" borderId="398" xfId="0" applyFont="1" applyFill="1" applyBorder="1" applyAlignment="1" applyProtection="1">
      <alignment horizontal="center"/>
      <protection locked="0"/>
    </xf>
    <xf numFmtId="0" fontId="164" fillId="64" borderId="167" xfId="0" applyFont="1" applyFill="1" applyBorder="1" applyAlignment="1" applyProtection="1">
      <alignment horizontal="center"/>
      <protection locked="0"/>
    </xf>
    <xf numFmtId="0" fontId="164" fillId="64" borderId="353" xfId="0" applyFont="1" applyFill="1" applyBorder="1" applyAlignment="1" applyProtection="1">
      <alignment horizontal="center"/>
      <protection locked="0"/>
    </xf>
    <xf numFmtId="0" fontId="164" fillId="64" borderId="67" xfId="0" applyFont="1" applyFill="1" applyBorder="1" applyAlignment="1" applyProtection="1">
      <alignment horizontal="center" vertical="center"/>
      <protection locked="0"/>
    </xf>
    <xf numFmtId="0" fontId="164" fillId="64" borderId="406" xfId="0" applyFont="1" applyFill="1" applyBorder="1" applyAlignment="1" applyProtection="1">
      <alignment horizontal="center" vertical="center"/>
      <protection locked="0"/>
    </xf>
    <xf numFmtId="0" fontId="164" fillId="64" borderId="60" xfId="0" applyFont="1" applyFill="1" applyBorder="1" applyAlignment="1" applyProtection="1">
      <alignment horizontal="center" vertical="center"/>
      <protection locked="0"/>
    </xf>
    <xf numFmtId="0" fontId="164" fillId="64" borderId="61" xfId="0" applyFont="1" applyFill="1" applyBorder="1" applyAlignment="1" applyProtection="1">
      <alignment horizontal="center" vertical="center"/>
      <protection locked="0"/>
    </xf>
    <xf numFmtId="0" fontId="221" fillId="2" borderId="62" xfId="0" applyFont="1" applyFill="1" applyBorder="1" applyAlignment="1" applyProtection="1">
      <alignment horizontal="center"/>
      <protection locked="0"/>
    </xf>
    <xf numFmtId="0" fontId="221" fillId="2" borderId="63" xfId="0" applyFont="1" applyFill="1" applyBorder="1" applyAlignment="1" applyProtection="1">
      <alignment horizontal="center"/>
      <protection locked="0"/>
    </xf>
    <xf numFmtId="0" fontId="183" fillId="64" borderId="24" xfId="0" applyFont="1" applyFill="1" applyBorder="1" applyAlignment="1" applyProtection="1">
      <alignment horizontal="left"/>
      <protection locked="0"/>
    </xf>
    <xf numFmtId="0" fontId="183" fillId="64" borderId="62" xfId="0" applyFont="1" applyFill="1" applyBorder="1" applyAlignment="1" applyProtection="1">
      <alignment horizontal="left"/>
      <protection locked="0"/>
    </xf>
    <xf numFmtId="0" fontId="183" fillId="64" borderId="63" xfId="0" applyFont="1" applyFill="1" applyBorder="1" applyAlignment="1" applyProtection="1">
      <alignment horizontal="left"/>
      <protection locked="0"/>
    </xf>
    <xf numFmtId="0" fontId="183" fillId="64" borderId="295" xfId="0" applyFont="1" applyFill="1" applyBorder="1" applyAlignment="1" applyProtection="1">
      <alignment horizontal="left"/>
      <protection locked="0"/>
    </xf>
    <xf numFmtId="0" fontId="183" fillId="64" borderId="293" xfId="0" applyFont="1" applyFill="1" applyBorder="1" applyAlignment="1" applyProtection="1">
      <alignment horizontal="left"/>
      <protection locked="0"/>
    </xf>
    <xf numFmtId="0" fontId="183" fillId="64" borderId="294" xfId="0" applyFont="1" applyFill="1" applyBorder="1" applyAlignment="1" applyProtection="1">
      <alignment horizontal="left"/>
      <protection locked="0"/>
    </xf>
    <xf numFmtId="0" fontId="183" fillId="2" borderId="26" xfId="0" applyFont="1" applyFill="1" applyBorder="1" applyAlignment="1" applyProtection="1">
      <alignment horizontal="center" vertical="center"/>
      <protection locked="0"/>
    </xf>
    <xf numFmtId="0" fontId="183" fillId="2" borderId="31" xfId="0" applyFont="1" applyFill="1" applyBorder="1" applyAlignment="1" applyProtection="1">
      <alignment horizontal="center" vertical="center"/>
      <protection locked="0"/>
    </xf>
    <xf numFmtId="0" fontId="183" fillId="2" borderId="48" xfId="0" applyFont="1" applyFill="1" applyBorder="1" applyAlignment="1" applyProtection="1">
      <alignment horizontal="center" vertical="center"/>
      <protection locked="0"/>
    </xf>
    <xf numFmtId="0" fontId="183" fillId="2" borderId="24" xfId="0" applyFont="1" applyFill="1" applyBorder="1" applyAlignment="1" applyProtection="1">
      <alignment horizontal="center" vertical="center"/>
      <protection locked="0"/>
    </xf>
    <xf numFmtId="0" fontId="183" fillId="2" borderId="62" xfId="0" applyFont="1" applyFill="1" applyBorder="1" applyAlignment="1" applyProtection="1">
      <alignment horizontal="center" vertical="center"/>
      <protection locked="0"/>
    </xf>
    <xf numFmtId="0" fontId="183" fillId="2" borderId="66" xfId="0" applyFont="1" applyFill="1" applyBorder="1" applyAlignment="1" applyProtection="1">
      <alignment horizontal="center" vertical="center"/>
      <protection locked="0"/>
    </xf>
    <xf numFmtId="0" fontId="183" fillId="2" borderId="29" xfId="0" applyFont="1" applyFill="1" applyBorder="1" applyAlignment="1" applyProtection="1">
      <alignment horizontal="center" vertical="center"/>
      <protection locked="0"/>
    </xf>
    <xf numFmtId="0" fontId="183" fillId="2" borderId="30" xfId="0" applyFont="1" applyFill="1" applyBorder="1" applyAlignment="1" applyProtection="1">
      <alignment horizontal="center" vertical="center"/>
      <protection locked="0"/>
    </xf>
    <xf numFmtId="0" fontId="183" fillId="2" borderId="47" xfId="0" applyFont="1" applyFill="1" applyBorder="1" applyAlignment="1" applyProtection="1">
      <alignment horizontal="center" vertical="center"/>
      <protection locked="0"/>
    </xf>
    <xf numFmtId="0" fontId="183" fillId="64" borderId="42" xfId="0" applyFont="1" applyFill="1" applyBorder="1" applyAlignment="1" applyProtection="1">
      <alignment horizontal="center" vertical="center"/>
      <protection locked="0"/>
    </xf>
    <xf numFmtId="0" fontId="0" fillId="0" borderId="298" xfId="0" applyBorder="1" applyAlignment="1">
      <alignment horizontal="center" vertical="center"/>
    </xf>
    <xf numFmtId="0" fontId="183" fillId="2" borderId="297" xfId="0" applyFont="1" applyFill="1" applyBorder="1" applyProtection="1">
      <protection locked="0"/>
    </xf>
    <xf numFmtId="0" fontId="0" fillId="0" borderId="43" xfId="0" applyBorder="1"/>
    <xf numFmtId="0" fontId="0" fillId="0" borderId="44" xfId="0" applyBorder="1"/>
    <xf numFmtId="0" fontId="183" fillId="64" borderId="39" xfId="0" applyFont="1" applyFill="1" applyBorder="1" applyAlignment="1" applyProtection="1">
      <alignment horizontal="center" vertical="center"/>
      <protection locked="0"/>
    </xf>
    <xf numFmtId="0" fontId="183" fillId="64" borderId="164" xfId="0" applyFont="1" applyFill="1" applyBorder="1" applyAlignment="1" applyProtection="1">
      <alignment horizontal="center" vertical="center"/>
      <protection locked="0"/>
    </xf>
    <xf numFmtId="0" fontId="183" fillId="64" borderId="59" xfId="0" applyFont="1" applyFill="1" applyBorder="1" applyAlignment="1" applyProtection="1">
      <alignment horizontal="left"/>
      <protection locked="0"/>
    </xf>
    <xf numFmtId="0" fontId="183" fillId="64" borderId="60" xfId="0" applyFont="1" applyFill="1" applyBorder="1" applyAlignment="1" applyProtection="1">
      <alignment horizontal="left"/>
      <protection locked="0"/>
    </xf>
    <xf numFmtId="0" fontId="183" fillId="64" borderId="288" xfId="0" applyFont="1" applyFill="1" applyBorder="1" applyAlignment="1" applyProtection="1">
      <alignment horizontal="left"/>
      <protection locked="0"/>
    </xf>
    <xf numFmtId="0" fontId="81" fillId="26" borderId="0" xfId="0" applyFont="1" applyFill="1" applyAlignment="1" applyProtection="1">
      <alignment horizontal="left" vertical="center" wrapText="1"/>
      <protection locked="0"/>
    </xf>
    <xf numFmtId="0" fontId="45" fillId="2" borderId="116" xfId="0" applyFont="1" applyFill="1" applyBorder="1" applyAlignment="1" applyProtection="1">
      <alignment horizontal="center" vertical="center"/>
      <protection locked="0"/>
    </xf>
    <xf numFmtId="0" fontId="45" fillId="2" borderId="117" xfId="0" applyFont="1" applyFill="1" applyBorder="1" applyAlignment="1" applyProtection="1">
      <alignment horizontal="center" vertical="center"/>
      <protection locked="0"/>
    </xf>
    <xf numFmtId="0" fontId="45" fillId="2" borderId="118" xfId="0" applyFont="1" applyFill="1" applyBorder="1" applyAlignment="1" applyProtection="1">
      <alignment horizontal="center" vertical="center"/>
      <protection locked="0"/>
    </xf>
    <xf numFmtId="0" fontId="46" fillId="2" borderId="116" xfId="0" applyFont="1" applyFill="1" applyBorder="1" applyAlignment="1" applyProtection="1">
      <alignment horizontal="center" vertical="center" wrapText="1"/>
      <protection locked="0"/>
    </xf>
    <xf numFmtId="0" fontId="46" fillId="2" borderId="117" xfId="0" applyFont="1" applyFill="1" applyBorder="1" applyAlignment="1" applyProtection="1">
      <alignment horizontal="center" vertical="center" wrapText="1"/>
      <protection locked="0"/>
    </xf>
    <xf numFmtId="0" fontId="46" fillId="2" borderId="118" xfId="0" applyFont="1" applyFill="1" applyBorder="1" applyAlignment="1" applyProtection="1">
      <alignment horizontal="center" vertical="center" wrapText="1"/>
      <protection locked="0"/>
    </xf>
    <xf numFmtId="0" fontId="45" fillId="69" borderId="116" xfId="0" applyFont="1" applyFill="1" applyBorder="1" applyAlignment="1" applyProtection="1">
      <alignment horizontal="center" vertical="center"/>
      <protection locked="0"/>
    </xf>
    <xf numFmtId="0" fontId="45" fillId="69" borderId="117" xfId="0" applyFont="1" applyFill="1" applyBorder="1" applyAlignment="1" applyProtection="1">
      <alignment horizontal="center" vertical="center"/>
      <protection locked="0"/>
    </xf>
    <xf numFmtId="0" fontId="45" fillId="69" borderId="118" xfId="0" applyFont="1" applyFill="1" applyBorder="1" applyAlignment="1" applyProtection="1">
      <alignment horizontal="center" vertical="center"/>
      <protection locked="0"/>
    </xf>
    <xf numFmtId="0" fontId="183" fillId="64" borderId="50" xfId="0" applyFont="1" applyFill="1" applyBorder="1" applyAlignment="1" applyProtection="1">
      <alignment horizontal="right"/>
      <protection locked="0"/>
    </xf>
    <xf numFmtId="0" fontId="183" fillId="64" borderId="28" xfId="0" applyFont="1" applyFill="1" applyBorder="1" applyAlignment="1" applyProtection="1">
      <alignment horizontal="right"/>
      <protection locked="0"/>
    </xf>
    <xf numFmtId="0" fontId="163" fillId="2" borderId="28" xfId="0" applyFont="1" applyFill="1" applyBorder="1" applyAlignment="1" applyProtection="1">
      <alignment horizontal="center"/>
      <protection locked="0"/>
    </xf>
    <xf numFmtId="0" fontId="163" fillId="2" borderId="49" xfId="0" applyFont="1" applyFill="1" applyBorder="1" applyAlignment="1" applyProtection="1">
      <alignment horizontal="center"/>
      <protection locked="0"/>
    </xf>
    <xf numFmtId="0" fontId="45" fillId="2" borderId="116" xfId="0" applyFont="1" applyFill="1" applyBorder="1" applyAlignment="1" applyProtection="1">
      <alignment horizontal="center" vertical="center" wrapText="1"/>
      <protection locked="0"/>
    </xf>
    <xf numFmtId="0" fontId="45" fillId="2" borderId="117" xfId="0" applyFont="1" applyFill="1" applyBorder="1" applyAlignment="1" applyProtection="1">
      <alignment horizontal="center" vertical="center" wrapText="1"/>
      <protection locked="0"/>
    </xf>
    <xf numFmtId="0" fontId="45" fillId="2" borderId="118" xfId="0" applyFont="1" applyFill="1" applyBorder="1" applyAlignment="1" applyProtection="1">
      <alignment horizontal="center" vertical="center" wrapText="1"/>
      <protection locked="0"/>
    </xf>
    <xf numFmtId="0" fontId="80" fillId="26" borderId="0" xfId="0" applyFont="1" applyFill="1" applyAlignment="1" applyProtection="1">
      <alignment horizontal="left" vertical="center" wrapText="1"/>
      <protection locked="0"/>
    </xf>
    <xf numFmtId="0" fontId="61" fillId="0" borderId="7" xfId="0" applyFont="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45" fillId="7" borderId="146" xfId="0" applyFont="1" applyFill="1" applyBorder="1" applyAlignment="1" applyProtection="1">
      <alignment horizontal="center" vertical="center" wrapText="1"/>
      <protection locked="0"/>
    </xf>
    <xf numFmtId="0" fontId="45" fillId="7" borderId="33" xfId="0" applyFont="1" applyFill="1" applyBorder="1" applyAlignment="1" applyProtection="1">
      <alignment horizontal="center" vertical="center" wrapText="1"/>
      <protection locked="0"/>
    </xf>
    <xf numFmtId="0" fontId="45" fillId="7" borderId="128" xfId="0" applyFont="1" applyFill="1" applyBorder="1" applyAlignment="1" applyProtection="1">
      <alignment horizontal="center" vertical="center" wrapText="1"/>
      <protection locked="0"/>
    </xf>
    <xf numFmtId="0" fontId="45" fillId="7" borderId="0" xfId="0" applyFont="1" applyFill="1" applyAlignment="1" applyProtection="1">
      <alignment horizontal="center" vertical="center" wrapText="1"/>
      <protection locked="0"/>
    </xf>
    <xf numFmtId="0" fontId="45" fillId="7" borderId="148" xfId="0" applyFont="1" applyFill="1" applyBorder="1" applyAlignment="1" applyProtection="1">
      <alignment horizontal="center" vertical="center" wrapText="1"/>
      <protection locked="0"/>
    </xf>
    <xf numFmtId="0" fontId="45" fillId="7" borderId="40" xfId="0" applyFont="1" applyFill="1" applyBorder="1" applyAlignment="1" applyProtection="1">
      <alignment horizontal="center" vertical="center" wrapText="1"/>
      <protection locked="0"/>
    </xf>
    <xf numFmtId="0" fontId="60" fillId="2" borderId="69" xfId="0"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0" fontId="60" fillId="2" borderId="141" xfId="0" applyFont="1" applyFill="1" applyBorder="1" applyAlignment="1" applyProtection="1">
      <alignment horizontal="center" vertical="center" wrapText="1"/>
      <protection locked="0"/>
    </xf>
    <xf numFmtId="0" fontId="60" fillId="2" borderId="151" xfId="0" applyFont="1" applyFill="1" applyBorder="1" applyAlignment="1" applyProtection="1">
      <alignment horizontal="center" vertical="center" wrapText="1"/>
      <protection locked="0"/>
    </xf>
    <xf numFmtId="0" fontId="60" fillId="2" borderId="131" xfId="0" applyFont="1" applyFill="1" applyBorder="1" applyAlignment="1" applyProtection="1">
      <alignment horizontal="center" vertical="center" wrapText="1"/>
      <protection locked="0"/>
    </xf>
    <xf numFmtId="0" fontId="60" fillId="2" borderId="132" xfId="0" applyFont="1" applyFill="1" applyBorder="1" applyAlignment="1" applyProtection="1">
      <alignment horizontal="center" vertical="center" wrapText="1"/>
      <protection locked="0"/>
    </xf>
    <xf numFmtId="0" fontId="79" fillId="25" borderId="7" xfId="0" applyFont="1" applyFill="1" applyBorder="1" applyAlignment="1" applyProtection="1">
      <alignment horizontal="center" vertical="center"/>
      <protection locked="0"/>
    </xf>
    <xf numFmtId="0" fontId="79" fillId="25" borderId="0" xfId="0" applyFont="1" applyFill="1" applyAlignment="1" applyProtection="1">
      <alignment horizontal="center" vertical="center"/>
      <protection locked="0"/>
    </xf>
    <xf numFmtId="0" fontId="46" fillId="7" borderId="146" xfId="0" applyFont="1" applyFill="1" applyBorder="1" applyAlignment="1" applyProtection="1">
      <alignment horizontal="center" vertical="center" wrapText="1"/>
      <protection locked="0"/>
    </xf>
    <xf numFmtId="0" fontId="46" fillId="7" borderId="33" xfId="0" applyFont="1" applyFill="1" applyBorder="1" applyAlignment="1" applyProtection="1">
      <alignment horizontal="center" vertical="center" wrapText="1"/>
      <protection locked="0"/>
    </xf>
    <xf numFmtId="0" fontId="46" fillId="7" borderId="128" xfId="0"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129" xfId="0" applyFont="1" applyFill="1" applyBorder="1" applyAlignment="1" applyProtection="1">
      <alignment horizontal="center" vertical="center" wrapText="1"/>
      <protection locked="0"/>
    </xf>
    <xf numFmtId="0" fontId="46" fillId="7" borderId="131" xfId="0" applyFont="1" applyFill="1" applyBorder="1" applyAlignment="1" applyProtection="1">
      <alignment horizontal="center" vertical="center" wrapText="1"/>
      <protection locked="0"/>
    </xf>
    <xf numFmtId="0" fontId="183" fillId="64" borderId="35" xfId="0" applyFont="1" applyFill="1" applyBorder="1" applyAlignment="1" applyProtection="1">
      <alignment horizontal="right"/>
      <protection locked="0"/>
    </xf>
    <xf numFmtId="0" fontId="183" fillId="64" borderId="22" xfId="0" applyFont="1" applyFill="1" applyBorder="1" applyAlignment="1" applyProtection="1">
      <alignment horizontal="right"/>
      <protection locked="0"/>
    </xf>
    <xf numFmtId="0" fontId="189" fillId="7" borderId="22" xfId="0" applyFont="1" applyFill="1" applyBorder="1" applyAlignment="1" applyProtection="1">
      <alignment horizontal="center" vertical="center"/>
      <protection locked="0"/>
    </xf>
    <xf numFmtId="0" fontId="189" fillId="7" borderId="36" xfId="0" applyFont="1" applyFill="1" applyBorder="1" applyAlignment="1" applyProtection="1">
      <alignment horizontal="center" vertical="center"/>
      <protection locked="0"/>
    </xf>
    <xf numFmtId="0" fontId="183" fillId="64" borderId="45" xfId="0" applyFont="1" applyFill="1" applyBorder="1" applyAlignment="1" applyProtection="1">
      <alignment horizontal="right"/>
      <protection locked="0"/>
    </xf>
    <xf numFmtId="0" fontId="183" fillId="64" borderId="23" xfId="0" applyFont="1" applyFill="1" applyBorder="1" applyAlignment="1" applyProtection="1">
      <alignment horizontal="right"/>
      <protection locked="0"/>
    </xf>
    <xf numFmtId="0" fontId="174" fillId="2" borderId="29" xfId="0" applyFont="1" applyFill="1" applyBorder="1" applyAlignment="1" applyProtection="1">
      <alignment horizontal="center" vertical="center"/>
      <protection locked="0"/>
    </xf>
    <xf numFmtId="0" fontId="174" fillId="2" borderId="30" xfId="0" applyFont="1" applyFill="1" applyBorder="1" applyAlignment="1" applyProtection="1">
      <alignment horizontal="center" vertical="center"/>
      <protection locked="0"/>
    </xf>
    <xf numFmtId="0" fontId="174" fillId="2" borderId="47" xfId="0" applyFont="1" applyFill="1" applyBorder="1" applyAlignment="1" applyProtection="1">
      <alignment horizontal="center" vertical="center"/>
      <protection locked="0"/>
    </xf>
    <xf numFmtId="0" fontId="189" fillId="2" borderId="22" xfId="0" applyFont="1" applyFill="1" applyBorder="1" applyAlignment="1" applyProtection="1">
      <alignment horizontal="center" vertical="center"/>
      <protection locked="0"/>
    </xf>
    <xf numFmtId="0" fontId="189" fillId="2" borderId="36" xfId="0" applyFont="1" applyFill="1" applyBorder="1" applyAlignment="1" applyProtection="1">
      <alignment horizontal="center" vertical="center"/>
      <protection locked="0"/>
    </xf>
    <xf numFmtId="0" fontId="189" fillId="2" borderId="24" xfId="0" applyFont="1" applyFill="1" applyBorder="1" applyAlignment="1" applyProtection="1">
      <alignment horizontal="center" vertical="center"/>
      <protection locked="0"/>
    </xf>
    <xf numFmtId="0" fontId="189" fillId="2" borderId="62" xfId="0" applyFont="1" applyFill="1" applyBorder="1" applyAlignment="1" applyProtection="1">
      <alignment horizontal="center" vertical="center"/>
      <protection locked="0"/>
    </xf>
    <xf numFmtId="0" fontId="189" fillId="2" borderId="66" xfId="0" applyFont="1" applyFill="1" applyBorder="1" applyAlignment="1" applyProtection="1">
      <alignment horizontal="center" vertical="center"/>
      <protection locked="0"/>
    </xf>
    <xf numFmtId="0" fontId="163" fillId="2" borderId="24" xfId="0" applyFont="1" applyFill="1" applyBorder="1" applyAlignment="1" applyProtection="1">
      <alignment horizontal="center"/>
      <protection locked="0"/>
    </xf>
    <xf numFmtId="0" fontId="226" fillId="0" borderId="62" xfId="0" applyFont="1" applyBorder="1" applyAlignment="1">
      <alignment horizontal="center"/>
    </xf>
    <xf numFmtId="0" fontId="226" fillId="0" borderId="66" xfId="0" applyFont="1" applyBorder="1" applyAlignment="1">
      <alignment horizontal="center"/>
    </xf>
    <xf numFmtId="0" fontId="42" fillId="63" borderId="438" xfId="0" applyFont="1" applyFill="1" applyBorder="1" applyAlignment="1">
      <alignment horizontal="right"/>
    </xf>
    <xf numFmtId="0" fontId="42" fillId="63" borderId="62" xfId="0" applyFont="1" applyFill="1" applyBorder="1" applyAlignment="1">
      <alignment horizontal="right"/>
    </xf>
    <xf numFmtId="0" fontId="42" fillId="63" borderId="63" xfId="0" applyFont="1" applyFill="1" applyBorder="1" applyAlignment="1">
      <alignment horizontal="right"/>
    </xf>
    <xf numFmtId="0" fontId="147" fillId="11" borderId="37" xfId="0" applyFont="1" applyFill="1" applyBorder="1" applyAlignment="1" applyProtection="1">
      <alignment horizontal="center" vertical="top" wrapText="1"/>
      <protection locked="0"/>
    </xf>
    <xf numFmtId="0" fontId="147" fillId="11" borderId="0" xfId="0" applyFont="1" applyFill="1" applyAlignment="1" applyProtection="1">
      <alignment horizontal="center" vertical="top" wrapText="1"/>
      <protection locked="0"/>
    </xf>
    <xf numFmtId="0" fontId="147" fillId="11" borderId="396" xfId="0" applyFont="1" applyFill="1" applyBorder="1" applyAlignment="1" applyProtection="1">
      <alignment horizontal="center" vertical="top" wrapText="1"/>
      <protection locked="0"/>
    </xf>
    <xf numFmtId="0" fontId="163" fillId="62" borderId="22" xfId="0" applyFont="1" applyFill="1" applyBorder="1" applyAlignment="1" applyProtection="1">
      <alignment horizontal="center" vertical="center" wrapText="1"/>
      <protection locked="0"/>
    </xf>
    <xf numFmtId="0" fontId="151" fillId="66" borderId="22" xfId="0" applyFont="1" applyFill="1" applyBorder="1" applyAlignment="1" applyProtection="1">
      <alignment horizontal="right" vertical="center" wrapText="1"/>
      <protection locked="0"/>
    </xf>
    <xf numFmtId="0" fontId="151" fillId="7" borderId="22" xfId="0" applyFont="1" applyFill="1" applyBorder="1" applyAlignment="1" applyProtection="1">
      <alignment horizontal="center"/>
      <protection locked="0"/>
    </xf>
    <xf numFmtId="0" fontId="151" fillId="64" borderId="22" xfId="0" applyFont="1" applyFill="1" applyBorder="1" applyAlignment="1" applyProtection="1">
      <alignment horizontal="right" vertical="center" wrapText="1"/>
      <protection locked="0"/>
    </xf>
    <xf numFmtId="0" fontId="43" fillId="14" borderId="22" xfId="0" applyFont="1" applyFill="1" applyBorder="1" applyAlignment="1" applyProtection="1">
      <alignment horizontal="center"/>
      <protection locked="0"/>
    </xf>
    <xf numFmtId="0" fontId="60" fillId="14" borderId="22" xfId="0" applyFont="1" applyFill="1" applyBorder="1" applyAlignment="1" applyProtection="1">
      <alignment horizontal="center"/>
      <protection locked="0"/>
    </xf>
    <xf numFmtId="0" fontId="183" fillId="64" borderId="26" xfId="0" applyFont="1" applyFill="1" applyBorder="1" applyAlignment="1" applyProtection="1">
      <alignment horizontal="left"/>
      <protection locked="0"/>
    </xf>
    <xf numFmtId="0" fontId="183" fillId="64" borderId="31" xfId="0" applyFont="1" applyFill="1" applyBorder="1" applyAlignment="1" applyProtection="1">
      <alignment horizontal="left"/>
      <protection locked="0"/>
    </xf>
    <xf numFmtId="0" fontId="183" fillId="64" borderId="27" xfId="0" applyFont="1" applyFill="1" applyBorder="1" applyAlignment="1" applyProtection="1">
      <alignment horizontal="left"/>
      <protection locked="0"/>
    </xf>
    <xf numFmtId="0" fontId="43" fillId="2" borderId="0" xfId="0" applyFont="1" applyFill="1" applyAlignment="1" applyProtection="1">
      <alignment horizontal="center" vertical="center"/>
      <protection locked="0"/>
    </xf>
    <xf numFmtId="0" fontId="43" fillId="2" borderId="435" xfId="0" applyFont="1" applyFill="1" applyBorder="1" applyAlignment="1" applyProtection="1">
      <alignment horizontal="center" vertical="center"/>
      <protection locked="0"/>
    </xf>
    <xf numFmtId="0" fontId="43" fillId="2" borderId="423" xfId="0" applyFont="1" applyFill="1" applyBorder="1" applyAlignment="1" applyProtection="1">
      <alignment horizontal="center" vertical="center"/>
      <protection locked="0"/>
    </xf>
    <xf numFmtId="0" fontId="43" fillId="2" borderId="440" xfId="0" applyFont="1" applyFill="1" applyBorder="1" applyAlignment="1" applyProtection="1">
      <alignment horizontal="center" vertical="center"/>
      <protection locked="0"/>
    </xf>
    <xf numFmtId="0" fontId="147" fillId="63" borderId="445" xfId="0" applyFont="1" applyFill="1" applyBorder="1" applyAlignment="1">
      <alignment horizontal="center" vertical="top" wrapText="1"/>
    </xf>
    <xf numFmtId="0" fontId="0" fillId="0" borderId="165" xfId="0" applyBorder="1" applyAlignment="1" applyProtection="1">
      <alignment horizontal="center"/>
      <protection locked="0"/>
    </xf>
    <xf numFmtId="0" fontId="65" fillId="7" borderId="446" xfId="0" applyFont="1" applyFill="1" applyBorder="1" applyAlignment="1">
      <alignment horizontal="center"/>
    </xf>
    <xf numFmtId="0" fontId="147" fillId="63" borderId="447" xfId="0" applyFont="1" applyFill="1" applyBorder="1" applyAlignment="1">
      <alignment horizontal="center" vertical="top" wrapText="1"/>
    </xf>
    <xf numFmtId="0" fontId="147" fillId="63" borderId="448" xfId="0" applyFont="1" applyFill="1" applyBorder="1" applyAlignment="1">
      <alignment horizontal="center" vertical="top" wrapText="1"/>
    </xf>
    <xf numFmtId="0" fontId="147" fillId="63" borderId="449" xfId="0" applyFont="1" applyFill="1" applyBorder="1" applyAlignment="1">
      <alignment horizontal="center" vertical="top" wrapText="1"/>
    </xf>
    <xf numFmtId="0" fontId="0" fillId="0" borderId="450" xfId="0" applyBorder="1" applyAlignment="1" applyProtection="1">
      <alignment horizontal="center"/>
      <protection locked="0"/>
    </xf>
    <xf numFmtId="0" fontId="149" fillId="11" borderId="443" xfId="2" applyFont="1" applyFill="1" applyBorder="1" applyAlignment="1" applyProtection="1">
      <alignment horizontal="center" vertical="center"/>
    </xf>
    <xf numFmtId="0" fontId="149" fillId="11" borderId="117" xfId="2" applyFont="1" applyFill="1" applyBorder="1" applyAlignment="1" applyProtection="1">
      <alignment horizontal="center" vertical="center"/>
    </xf>
    <xf numFmtId="0" fontId="149" fillId="11" borderId="444" xfId="2" applyFont="1" applyFill="1" applyBorder="1" applyAlignment="1" applyProtection="1">
      <alignment horizontal="center" vertical="center"/>
    </xf>
    <xf numFmtId="180" fontId="243" fillId="0" borderId="0" xfId="0" applyNumberFormat="1" applyFont="1" applyAlignment="1">
      <alignment horizontal="center"/>
    </xf>
    <xf numFmtId="0" fontId="78" fillId="7" borderId="11" xfId="0" applyFont="1" applyFill="1" applyBorder="1" applyAlignment="1">
      <alignment horizontal="center" vertical="center" wrapText="1"/>
    </xf>
    <xf numFmtId="0" fontId="78" fillId="7" borderId="0" xfId="0" applyFont="1" applyFill="1" applyAlignment="1">
      <alignment horizontal="center" vertical="center" wrapText="1"/>
    </xf>
    <xf numFmtId="0" fontId="78" fillId="7" borderId="455" xfId="0" applyFont="1" applyFill="1" applyBorder="1" applyAlignment="1">
      <alignment horizontal="center" vertical="center" wrapText="1"/>
    </xf>
    <xf numFmtId="0" fontId="78" fillId="7" borderId="40" xfId="0" applyFont="1" applyFill="1" applyBorder="1" applyAlignment="1">
      <alignment horizontal="center" vertical="center" wrapText="1"/>
    </xf>
    <xf numFmtId="0" fontId="60" fillId="2" borderId="69" xfId="0" applyFont="1" applyFill="1" applyBorder="1" applyAlignment="1">
      <alignment horizontal="center" vertical="center"/>
    </xf>
    <xf numFmtId="0" fontId="60" fillId="2" borderId="0" xfId="0" applyFont="1" applyFill="1" applyAlignment="1">
      <alignment horizontal="center" vertical="center"/>
    </xf>
    <xf numFmtId="0" fontId="46" fillId="7" borderId="454"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46" fillId="7" borderId="11" xfId="0" applyFont="1" applyFill="1" applyBorder="1" applyAlignment="1">
      <alignment horizontal="center" vertical="center" wrapText="1"/>
    </xf>
    <xf numFmtId="0" fontId="46" fillId="7" borderId="38" xfId="0" applyFont="1" applyFill="1" applyBorder="1" applyAlignment="1">
      <alignment horizontal="center" vertical="center" wrapText="1"/>
    </xf>
    <xf numFmtId="0" fontId="46" fillId="7" borderId="1" xfId="0" applyFont="1" applyFill="1" applyBorder="1" applyAlignment="1">
      <alignment horizontal="center" vertical="center" wrapText="1"/>
    </xf>
    <xf numFmtId="0" fontId="46" fillId="7" borderId="12" xfId="0" applyFont="1" applyFill="1" applyBorder="1" applyAlignment="1">
      <alignment horizontal="center" vertical="center" wrapText="1"/>
    </xf>
    <xf numFmtId="0" fontId="46" fillId="7" borderId="452" xfId="0" applyFont="1" applyFill="1" applyBorder="1" applyAlignment="1">
      <alignment horizontal="center" vertical="center" wrapText="1"/>
    </xf>
    <xf numFmtId="0" fontId="173" fillId="2" borderId="10" xfId="0" applyFont="1" applyFill="1" applyBorder="1" applyAlignment="1">
      <alignment horizontal="left" vertical="center" wrapText="1"/>
    </xf>
    <xf numFmtId="0" fontId="173" fillId="2" borderId="0" xfId="0" applyFont="1" applyFill="1" applyAlignment="1">
      <alignment horizontal="left" vertical="center" wrapText="1"/>
    </xf>
    <xf numFmtId="0" fontId="241" fillId="2" borderId="11" xfId="0" applyFont="1" applyFill="1" applyBorder="1" applyAlignment="1">
      <alignment wrapText="1"/>
    </xf>
    <xf numFmtId="0" fontId="0" fillId="0" borderId="0" xfId="0" applyAlignment="1">
      <alignment wrapText="1"/>
    </xf>
    <xf numFmtId="190" fontId="66" fillId="22" borderId="188" xfId="0" applyNumberFormat="1" applyFont="1" applyFill="1" applyBorder="1" applyAlignment="1">
      <alignment horizontal="center" vertical="center" wrapText="1"/>
    </xf>
    <xf numFmtId="190" fontId="66" fillId="22" borderId="7" xfId="0" applyNumberFormat="1" applyFont="1" applyFill="1" applyBorder="1" applyAlignment="1">
      <alignment horizontal="center" vertical="center" wrapText="1"/>
    </xf>
    <xf numFmtId="190" fontId="66" fillId="22" borderId="187" xfId="0" applyNumberFormat="1" applyFont="1" applyFill="1" applyBorder="1" applyAlignment="1">
      <alignment horizontal="center" vertical="center" wrapText="1"/>
    </xf>
    <xf numFmtId="0" fontId="67" fillId="2" borderId="0" xfId="0" applyFont="1" applyFill="1" applyAlignment="1">
      <alignment horizontal="center" vertical="center"/>
    </xf>
    <xf numFmtId="0" fontId="24" fillId="22" borderId="185" xfId="0" applyFont="1" applyFill="1" applyBorder="1" applyAlignment="1" applyProtection="1">
      <alignment horizontal="center" vertical="center" wrapText="1"/>
      <protection locked="0"/>
    </xf>
    <xf numFmtId="0" fontId="24" fillId="22" borderId="0" xfId="0" applyFont="1" applyFill="1" applyAlignment="1" applyProtection="1">
      <alignment horizontal="center" vertical="center" wrapText="1"/>
      <protection locked="0"/>
    </xf>
    <xf numFmtId="0" fontId="35" fillId="2" borderId="0" xfId="0" applyFont="1" applyFill="1" applyAlignment="1" applyProtection="1">
      <alignment horizontal="left" vertical="center" wrapText="1"/>
      <protection locked="0"/>
    </xf>
    <xf numFmtId="0" fontId="35" fillId="2" borderId="411" xfId="0" applyFont="1" applyFill="1" applyBorder="1" applyAlignment="1" applyProtection="1">
      <alignment horizontal="left" vertical="center" wrapText="1"/>
      <protection locked="0"/>
    </xf>
    <xf numFmtId="0" fontId="35" fillId="2" borderId="205" xfId="0" applyFont="1" applyFill="1" applyBorder="1" applyAlignment="1" applyProtection="1">
      <alignment horizontal="left" vertical="center" wrapText="1"/>
      <protection locked="0"/>
    </xf>
    <xf numFmtId="0" fontId="35" fillId="2" borderId="206" xfId="0" applyFont="1" applyFill="1" applyBorder="1" applyAlignment="1" applyProtection="1">
      <alignment horizontal="left" vertical="center" wrapText="1"/>
      <protection locked="0"/>
    </xf>
    <xf numFmtId="0" fontId="67" fillId="2" borderId="197" xfId="0" applyFont="1" applyFill="1" applyBorder="1" applyAlignment="1" applyProtection="1">
      <alignment horizontal="center" vertical="center"/>
      <protection locked="0"/>
    </xf>
    <xf numFmtId="0" fontId="67" fillId="2" borderId="198" xfId="0" applyFont="1" applyFill="1" applyBorder="1" applyAlignment="1" applyProtection="1">
      <alignment horizontal="center" vertical="center"/>
      <protection locked="0"/>
    </xf>
    <xf numFmtId="0" fontId="67" fillId="2" borderId="199" xfId="0" applyFont="1" applyFill="1" applyBorder="1" applyAlignment="1" applyProtection="1">
      <alignment horizontal="center" vertical="center"/>
      <protection locked="0"/>
    </xf>
    <xf numFmtId="0" fontId="68" fillId="22" borderId="9" xfId="0" applyFont="1" applyFill="1" applyBorder="1" applyAlignment="1" applyProtection="1">
      <alignment horizontal="center" vertical="center" wrapText="1"/>
      <protection locked="0"/>
    </xf>
    <xf numFmtId="176" fontId="36" fillId="34" borderId="200" xfId="0" applyNumberFormat="1" applyFont="1" applyFill="1" applyBorder="1" applyAlignment="1" applyProtection="1">
      <alignment horizontal="center" vertical="center" wrapText="1"/>
      <protection locked="0"/>
    </xf>
    <xf numFmtId="176" fontId="36" fillId="34" borderId="410" xfId="0" applyNumberFormat="1" applyFont="1" applyFill="1" applyBorder="1" applyAlignment="1" applyProtection="1">
      <alignment horizontal="center" vertical="center" wrapText="1"/>
      <protection locked="0"/>
    </xf>
    <xf numFmtId="176" fontId="36" fillId="73" borderId="9" xfId="0" applyNumberFormat="1" applyFont="1" applyFill="1" applyBorder="1" applyAlignment="1" applyProtection="1">
      <alignment horizontal="center" vertical="center" wrapText="1"/>
      <protection locked="0"/>
    </xf>
    <xf numFmtId="176" fontId="36" fillId="73" borderId="153" xfId="0" applyNumberFormat="1" applyFont="1" applyFill="1" applyBorder="1" applyAlignment="1" applyProtection="1">
      <alignment horizontal="center" vertical="center" wrapText="1"/>
      <protection locked="0"/>
    </xf>
    <xf numFmtId="2" fontId="36" fillId="73" borderId="9" xfId="0" applyNumberFormat="1" applyFont="1" applyFill="1" applyBorder="1" applyAlignment="1" applyProtection="1">
      <alignment horizontal="center" vertical="center" wrapText="1"/>
      <protection locked="0"/>
    </xf>
    <xf numFmtId="2" fontId="36" fillId="73" borderId="153" xfId="0" applyNumberFormat="1" applyFont="1" applyFill="1" applyBorder="1" applyAlignment="1" applyProtection="1">
      <alignment horizontal="center" vertical="center" wrapText="1"/>
      <protection locked="0"/>
    </xf>
    <xf numFmtId="189" fontId="66" fillId="22" borderId="202" xfId="0" applyNumberFormat="1" applyFont="1" applyFill="1" applyBorder="1" applyAlignment="1">
      <alignment horizontal="center" vertical="center" wrapText="1"/>
    </xf>
    <xf numFmtId="189" fontId="66" fillId="22" borderId="203" xfId="0" applyNumberFormat="1" applyFont="1" applyFill="1" applyBorder="1" applyAlignment="1">
      <alignment horizontal="center" vertical="center" wrapText="1"/>
    </xf>
    <xf numFmtId="176" fontId="36" fillId="22" borderId="153" xfId="0" applyNumberFormat="1" applyFont="1" applyFill="1" applyBorder="1" applyAlignment="1">
      <alignment horizontal="center" vertical="center" wrapText="1"/>
    </xf>
    <xf numFmtId="176" fontId="36" fillId="22" borderId="417" xfId="0" applyNumberFormat="1" applyFont="1" applyFill="1" applyBorder="1" applyAlignment="1">
      <alignment horizontal="center" vertical="center" wrapText="1"/>
    </xf>
    <xf numFmtId="0" fontId="14" fillId="0" borderId="393" xfId="0" applyFont="1" applyBorder="1" applyAlignment="1">
      <alignment horizontal="center" vertical="center"/>
    </xf>
    <xf numFmtId="0" fontId="14" fillId="0" borderId="394" xfId="0" applyFont="1" applyBorder="1" applyAlignment="1">
      <alignment horizontal="center" vertical="center"/>
    </xf>
    <xf numFmtId="0" fontId="14" fillId="0" borderId="395" xfId="0" applyFont="1" applyBorder="1" applyAlignment="1">
      <alignment horizontal="center" vertical="center"/>
    </xf>
    <xf numFmtId="0" fontId="29" fillId="0" borderId="390" xfId="0" applyFont="1" applyBorder="1" applyAlignment="1">
      <alignment horizontal="center" vertical="center" wrapText="1"/>
    </xf>
    <xf numFmtId="0" fontId="29" fillId="0" borderId="391" xfId="0" applyFont="1" applyBorder="1" applyAlignment="1">
      <alignment horizontal="center" vertical="center" wrapText="1"/>
    </xf>
    <xf numFmtId="0" fontId="29" fillId="0" borderId="392" xfId="0" applyFont="1" applyBorder="1" applyAlignment="1">
      <alignment horizontal="center" vertical="center" wrapText="1"/>
    </xf>
    <xf numFmtId="0" fontId="215" fillId="0" borderId="0" xfId="0" applyFont="1" applyAlignment="1">
      <alignment horizontal="center" vertical="center"/>
    </xf>
    <xf numFmtId="0" fontId="215" fillId="0" borderId="73" xfId="0" applyFont="1" applyBorder="1" applyAlignment="1">
      <alignment horizontal="center" vertical="center"/>
    </xf>
    <xf numFmtId="0" fontId="147" fillId="63" borderId="312" xfId="0" applyFont="1" applyFill="1" applyBorder="1" applyAlignment="1">
      <alignment horizontal="right" vertical="center" wrapText="1"/>
    </xf>
    <xf numFmtId="0" fontId="147" fillId="63" borderId="83" xfId="0" applyFont="1" applyFill="1" applyBorder="1" applyAlignment="1">
      <alignment horizontal="right" vertical="center" wrapText="1"/>
    </xf>
    <xf numFmtId="0" fontId="147" fillId="63" borderId="323" xfId="0" applyFont="1" applyFill="1" applyBorder="1" applyAlignment="1">
      <alignment horizontal="right" vertical="center" wrapText="1"/>
    </xf>
    <xf numFmtId="0" fontId="147" fillId="63" borderId="324" xfId="0" applyFont="1" applyFill="1" applyBorder="1" applyAlignment="1">
      <alignment horizontal="right" vertical="center" wrapText="1"/>
    </xf>
    <xf numFmtId="0" fontId="147" fillId="63" borderId="325" xfId="0" applyFont="1" applyFill="1" applyBorder="1" applyAlignment="1">
      <alignment horizontal="right" vertical="center" wrapText="1"/>
    </xf>
    <xf numFmtId="0" fontId="147" fillId="63" borderId="326" xfId="0" applyFont="1" applyFill="1" applyBorder="1" applyAlignment="1">
      <alignment horizontal="right" vertical="center" wrapText="1"/>
    </xf>
    <xf numFmtId="0" fontId="160" fillId="11" borderId="129" xfId="0" applyFont="1" applyFill="1" applyBorder="1" applyAlignment="1">
      <alignment horizontal="center"/>
    </xf>
    <xf numFmtId="0" fontId="160" fillId="11" borderId="131" xfId="0" applyFont="1" applyFill="1" applyBorder="1" applyAlignment="1">
      <alignment horizontal="center"/>
    </xf>
    <xf numFmtId="0" fontId="160" fillId="11" borderId="132" xfId="0" applyFont="1" applyFill="1" applyBorder="1" applyAlignment="1">
      <alignment horizontal="center"/>
    </xf>
    <xf numFmtId="0" fontId="5" fillId="14" borderId="57" xfId="0" applyFont="1" applyFill="1" applyBorder="1" applyAlignment="1">
      <alignment horizontal="center"/>
    </xf>
    <xf numFmtId="0" fontId="5" fillId="14" borderId="31" xfId="0" applyFont="1" applyFill="1" applyBorder="1" applyAlignment="1">
      <alignment horizontal="center"/>
    </xf>
    <xf numFmtId="0" fontId="5" fillId="14" borderId="27" xfId="0" applyFont="1" applyFill="1" applyBorder="1" applyAlignment="1">
      <alignment horizontal="center"/>
    </xf>
    <xf numFmtId="0" fontId="161" fillId="14" borderId="26" xfId="0" applyFont="1" applyFill="1" applyBorder="1" applyAlignment="1">
      <alignment horizontal="center"/>
    </xf>
    <xf numFmtId="0" fontId="161" fillId="14" borderId="31" xfId="0" applyFont="1" applyFill="1" applyBorder="1" applyAlignment="1">
      <alignment horizontal="center"/>
    </xf>
    <xf numFmtId="0" fontId="161" fillId="14" borderId="38" xfId="0" applyFont="1" applyFill="1" applyBorder="1" applyAlignment="1">
      <alignment horizontal="center"/>
    </xf>
    <xf numFmtId="0" fontId="147" fillId="63" borderId="35" xfId="0" applyFont="1" applyFill="1" applyBorder="1" applyAlignment="1">
      <alignment horizontal="right" vertical="center" wrapText="1"/>
    </xf>
    <xf numFmtId="0" fontId="147" fillId="63" borderId="22" xfId="0" applyFont="1" applyFill="1" applyBorder="1" applyAlignment="1">
      <alignment horizontal="right" vertical="center" wrapText="1"/>
    </xf>
    <xf numFmtId="0" fontId="159" fillId="62" borderId="37" xfId="0" applyFont="1" applyFill="1" applyBorder="1" applyAlignment="1">
      <alignment horizontal="center" vertical="center" wrapText="1"/>
    </xf>
    <xf numFmtId="0" fontId="159" fillId="62" borderId="0" xfId="0" applyFont="1" applyFill="1" applyAlignment="1">
      <alignment horizontal="center" vertical="center" wrapText="1"/>
    </xf>
    <xf numFmtId="0" fontId="159" fillId="62" borderId="38" xfId="0" applyFont="1" applyFill="1" applyBorder="1" applyAlignment="1">
      <alignment horizontal="center" vertical="center" wrapText="1"/>
    </xf>
    <xf numFmtId="0" fontId="147" fillId="64" borderId="309" xfId="0" applyFont="1" applyFill="1" applyBorder="1" applyAlignment="1">
      <alignment horizontal="right" vertical="center" wrapText="1"/>
    </xf>
    <xf numFmtId="0" fontId="147" fillId="64" borderId="310" xfId="0" applyFont="1" applyFill="1" applyBorder="1" applyAlignment="1">
      <alignment horizontal="right" vertical="center" wrapText="1"/>
    </xf>
    <xf numFmtId="0" fontId="147" fillId="64" borderId="314" xfId="0" applyFont="1" applyFill="1" applyBorder="1" applyAlignment="1">
      <alignment horizontal="right" vertical="center" wrapText="1"/>
    </xf>
    <xf numFmtId="0" fontId="147" fillId="64" borderId="315" xfId="0" applyFont="1" applyFill="1" applyBorder="1" applyAlignment="1">
      <alignment horizontal="right" vertical="center" wrapText="1"/>
    </xf>
    <xf numFmtId="0" fontId="147" fillId="64" borderId="316" xfId="0" applyFont="1" applyFill="1" applyBorder="1" applyAlignment="1">
      <alignment horizontal="right" vertical="center" wrapText="1"/>
    </xf>
    <xf numFmtId="0" fontId="147" fillId="64" borderId="317" xfId="0" applyFont="1" applyFill="1" applyBorder="1" applyAlignment="1">
      <alignment horizontal="right" vertical="center" wrapText="1"/>
    </xf>
    <xf numFmtId="0" fontId="147" fillId="63" borderId="320" xfId="0" applyFont="1" applyFill="1" applyBorder="1" applyAlignment="1">
      <alignment horizontal="right" vertical="center" wrapText="1"/>
    </xf>
    <xf numFmtId="0" fontId="147" fillId="63" borderId="321" xfId="0" applyFont="1" applyFill="1" applyBorder="1" applyAlignment="1">
      <alignment horizontal="right" vertical="center" wrapText="1"/>
    </xf>
    <xf numFmtId="0" fontId="147" fillId="63" borderId="322" xfId="0" applyFont="1" applyFill="1" applyBorder="1" applyAlignment="1">
      <alignment horizontal="right" vertical="center" wrapText="1"/>
    </xf>
    <xf numFmtId="0" fontId="23" fillId="2" borderId="327" xfId="0" applyFont="1" applyFill="1" applyBorder="1" applyAlignment="1">
      <alignment horizontal="center"/>
    </xf>
    <xf numFmtId="0" fontId="23" fillId="2" borderId="328" xfId="0" applyFont="1" applyFill="1" applyBorder="1" applyAlignment="1">
      <alignment horizontal="center"/>
    </xf>
    <xf numFmtId="0" fontId="23" fillId="2" borderId="329" xfId="0" applyFont="1" applyFill="1" applyBorder="1" applyAlignment="1">
      <alignment horizontal="center"/>
    </xf>
    <xf numFmtId="0" fontId="150" fillId="65" borderId="35" xfId="0" applyFont="1" applyFill="1" applyBorder="1" applyAlignment="1">
      <alignment horizontal="right" vertical="center" wrapText="1"/>
    </xf>
    <xf numFmtId="0" fontId="150" fillId="65" borderId="22" xfId="0" applyFont="1" applyFill="1" applyBorder="1" applyAlignment="1">
      <alignment horizontal="right" vertical="center" wrapText="1"/>
    </xf>
    <xf numFmtId="0" fontId="42" fillId="63" borderId="35" xfId="0" applyFont="1" applyFill="1" applyBorder="1" applyAlignment="1">
      <alignment horizontal="right" vertical="center" wrapText="1"/>
    </xf>
    <xf numFmtId="0" fontId="42" fillId="63" borderId="22" xfId="0" applyFont="1" applyFill="1" applyBorder="1" applyAlignment="1">
      <alignment horizontal="right" vertical="center" wrapText="1"/>
    </xf>
    <xf numFmtId="0" fontId="42" fillId="63" borderId="63" xfId="0" applyFont="1" applyFill="1" applyBorder="1" applyAlignment="1">
      <alignment horizontal="right" vertical="center" wrapText="1"/>
    </xf>
    <xf numFmtId="0" fontId="42" fillId="63" borderId="65" xfId="0" applyFont="1" applyFill="1" applyBorder="1" applyAlignment="1">
      <alignment horizontal="center" vertical="center" wrapText="1"/>
    </xf>
    <xf numFmtId="0" fontId="42" fillId="63" borderId="62" xfId="0" applyFont="1" applyFill="1" applyBorder="1" applyAlignment="1">
      <alignment horizontal="center" vertical="center" wrapText="1"/>
    </xf>
    <xf numFmtId="0" fontId="42" fillId="63" borderId="63" xfId="0" applyFont="1" applyFill="1" applyBorder="1" applyAlignment="1">
      <alignment horizontal="center" vertical="center" wrapText="1"/>
    </xf>
    <xf numFmtId="0" fontId="42" fillId="2" borderId="170" xfId="0" applyFont="1" applyFill="1" applyBorder="1" applyAlignment="1">
      <alignment horizontal="center"/>
    </xf>
    <xf numFmtId="0" fontId="42" fillId="2" borderId="169" xfId="0" applyFont="1" applyFill="1" applyBorder="1" applyAlignment="1">
      <alignment horizontal="center"/>
    </xf>
    <xf numFmtId="0" fontId="42" fillId="2" borderId="28" xfId="0" applyFont="1" applyFill="1" applyBorder="1" applyAlignment="1">
      <alignment horizontal="center"/>
    </xf>
    <xf numFmtId="0" fontId="42" fillId="2" borderId="22" xfId="0" applyFont="1" applyFill="1" applyBorder="1" applyAlignment="1">
      <alignment horizontal="center"/>
    </xf>
    <xf numFmtId="0" fontId="12" fillId="2" borderId="40" xfId="0" applyFont="1" applyFill="1" applyBorder="1" applyAlignment="1">
      <alignment horizontal="center" vertical="center" wrapText="1"/>
    </xf>
    <xf numFmtId="0" fontId="42" fillId="2" borderId="29" xfId="0" applyFont="1" applyFill="1" applyBorder="1" applyAlignment="1">
      <alignment horizontal="center"/>
    </xf>
    <xf numFmtId="0" fontId="42" fillId="2" borderId="30" xfId="0" applyFont="1" applyFill="1" applyBorder="1" applyAlignment="1">
      <alignment horizontal="center"/>
    </xf>
    <xf numFmtId="0" fontId="42" fillId="2" borderId="47" xfId="0" applyFont="1" applyFill="1" applyBorder="1" applyAlignment="1">
      <alignment horizontal="center"/>
    </xf>
    <xf numFmtId="0" fontId="42" fillId="2" borderId="26" xfId="0" applyFont="1" applyFill="1" applyBorder="1" applyAlignment="1">
      <alignment horizontal="center"/>
    </xf>
    <xf numFmtId="0" fontId="42" fillId="2" borderId="31" xfId="0" applyFont="1" applyFill="1" applyBorder="1" applyAlignment="1">
      <alignment horizontal="center"/>
    </xf>
    <xf numFmtId="0" fontId="42" fillId="2" borderId="48" xfId="0" applyFont="1" applyFill="1" applyBorder="1" applyAlignment="1">
      <alignment horizontal="center"/>
    </xf>
    <xf numFmtId="0" fontId="42" fillId="2" borderId="35" xfId="0" applyFont="1" applyFill="1" applyBorder="1" applyAlignment="1">
      <alignment horizontal="right" vertical="center" wrapText="1"/>
    </xf>
    <xf numFmtId="0" fontId="42" fillId="2" borderId="22" xfId="0" applyFont="1" applyFill="1" applyBorder="1" applyAlignment="1">
      <alignment horizontal="right" vertical="center" wrapText="1"/>
    </xf>
    <xf numFmtId="0" fontId="42" fillId="2" borderId="65" xfId="0" applyFont="1" applyFill="1" applyBorder="1" applyAlignment="1">
      <alignment horizontal="right"/>
    </xf>
    <xf numFmtId="0" fontId="42" fillId="2" borderId="65" xfId="0" applyFont="1" applyFill="1" applyBorder="1" applyAlignment="1">
      <alignment horizontal="right" vertical="center" wrapText="1"/>
    </xf>
    <xf numFmtId="0" fontId="42" fillId="2" borderId="62" xfId="0" applyFont="1" applyFill="1" applyBorder="1" applyAlignment="1">
      <alignment horizontal="right" vertical="center" wrapText="1"/>
    </xf>
    <xf numFmtId="0" fontId="42" fillId="2" borderId="63" xfId="0" applyFont="1" applyFill="1" applyBorder="1" applyAlignment="1">
      <alignment horizontal="right" vertical="center" wrapText="1"/>
    </xf>
    <xf numFmtId="0" fontId="104" fillId="2" borderId="0" xfId="0" applyFont="1" applyFill="1" applyAlignment="1">
      <alignment horizontal="center" vertical="center" wrapText="1"/>
    </xf>
    <xf numFmtId="0" fontId="106" fillId="2" borderId="0" xfId="0" applyFont="1" applyFill="1" applyAlignment="1">
      <alignment horizontal="center" vertical="center" wrapText="1"/>
    </xf>
    <xf numFmtId="0" fontId="106" fillId="2" borderId="38" xfId="0" applyFont="1" applyFill="1" applyBorder="1" applyAlignment="1">
      <alignment horizontal="center" vertical="center" wrapText="1"/>
    </xf>
    <xf numFmtId="0" fontId="106" fillId="2" borderId="40" xfId="0" applyFont="1" applyFill="1" applyBorder="1" applyAlignment="1">
      <alignment horizontal="center" vertical="center" wrapText="1"/>
    </xf>
    <xf numFmtId="0" fontId="106" fillId="2" borderId="41" xfId="0" applyFont="1" applyFill="1" applyBorder="1" applyAlignment="1">
      <alignment horizontal="center" vertical="center" wrapText="1"/>
    </xf>
    <xf numFmtId="0" fontId="42" fillId="2" borderId="174" xfId="0" applyFont="1" applyFill="1" applyBorder="1" applyAlignment="1">
      <alignment horizontal="right"/>
    </xf>
    <xf numFmtId="0" fontId="42" fillId="2" borderId="175" xfId="0" applyFont="1" applyFill="1" applyBorder="1" applyAlignment="1">
      <alignment horizontal="right"/>
    </xf>
    <xf numFmtId="0" fontId="51" fillId="2" borderId="28" xfId="0" applyFont="1" applyFill="1" applyBorder="1" applyAlignment="1">
      <alignment horizontal="right" vertical="center" wrapText="1"/>
    </xf>
    <xf numFmtId="0" fontId="51" fillId="2" borderId="22" xfId="0" applyFont="1" applyFill="1" applyBorder="1" applyAlignment="1">
      <alignment horizontal="right" vertical="center" wrapText="1"/>
    </xf>
    <xf numFmtId="0" fontId="23" fillId="2" borderId="39" xfId="0" applyFont="1" applyFill="1" applyBorder="1" applyAlignment="1">
      <alignment horizontal="right" vertical="center" wrapText="1"/>
    </xf>
    <xf numFmtId="0" fontId="23" fillId="2" borderId="40" xfId="0" applyFont="1" applyFill="1" applyBorder="1" applyAlignment="1">
      <alignment horizontal="right" vertical="center" wrapText="1"/>
    </xf>
    <xf numFmtId="0" fontId="23" fillId="2" borderId="171" xfId="0" applyFont="1" applyFill="1" applyBorder="1" applyAlignment="1">
      <alignment horizontal="right" vertical="center" wrapText="1"/>
    </xf>
    <xf numFmtId="0" fontId="23" fillId="2" borderId="117" xfId="0" applyFont="1" applyFill="1" applyBorder="1" applyAlignment="1">
      <alignment horizontal="right" vertical="center" wrapText="1"/>
    </xf>
    <xf numFmtId="0" fontId="42" fillId="2" borderId="22" xfId="0" applyFont="1" applyFill="1" applyBorder="1" applyAlignment="1">
      <alignment horizontal="left" vertical="center"/>
    </xf>
    <xf numFmtId="0" fontId="104" fillId="2" borderId="22" xfId="0" applyFont="1" applyFill="1" applyBorder="1" applyAlignment="1">
      <alignment horizontal="center" vertical="center" wrapText="1"/>
    </xf>
    <xf numFmtId="0" fontId="42" fillId="2" borderId="22" xfId="0" applyFont="1" applyFill="1" applyBorder="1" applyAlignment="1">
      <alignment horizontal="left"/>
    </xf>
    <xf numFmtId="0" fontId="104" fillId="2" borderId="22" xfId="0" applyFont="1" applyFill="1" applyBorder="1" applyAlignment="1">
      <alignment horizontal="center"/>
    </xf>
    <xf numFmtId="0" fontId="51" fillId="2" borderId="69" xfId="0" applyFont="1" applyFill="1" applyBorder="1" applyAlignment="1">
      <alignment horizontal="center" vertical="center"/>
    </xf>
    <xf numFmtId="0" fontId="51" fillId="2" borderId="0" xfId="0" applyFont="1" applyFill="1" applyAlignment="1">
      <alignment horizontal="center" vertical="center"/>
    </xf>
    <xf numFmtId="0" fontId="51" fillId="2" borderId="141" xfId="0" applyFont="1" applyFill="1" applyBorder="1" applyAlignment="1">
      <alignment horizontal="center" vertical="center"/>
    </xf>
    <xf numFmtId="0" fontId="51" fillId="2" borderId="151" xfId="0" applyFont="1" applyFill="1" applyBorder="1" applyAlignment="1">
      <alignment horizontal="center" vertical="center"/>
    </xf>
    <xf numFmtId="0" fontId="51" fillId="2" borderId="131" xfId="0" applyFont="1" applyFill="1" applyBorder="1" applyAlignment="1">
      <alignment horizontal="center" vertical="center"/>
    </xf>
    <xf numFmtId="0" fontId="51" fillId="2" borderId="132" xfId="0" applyFont="1" applyFill="1" applyBorder="1" applyAlignment="1">
      <alignment horizontal="center" vertical="center"/>
    </xf>
    <xf numFmtId="0" fontId="42" fillId="2" borderId="35" xfId="0" applyFont="1" applyFill="1" applyBorder="1" applyAlignment="1">
      <alignment horizontal="right"/>
    </xf>
    <xf numFmtId="0" fontId="96" fillId="2" borderId="146" xfId="0" applyFont="1" applyFill="1" applyBorder="1" applyAlignment="1">
      <alignment horizontal="center" vertical="center" wrapText="1"/>
    </xf>
    <xf numFmtId="0" fontId="96" fillId="2" borderId="33" xfId="0" applyFont="1" applyFill="1" applyBorder="1" applyAlignment="1">
      <alignment horizontal="center" vertical="center" wrapText="1"/>
    </xf>
    <xf numFmtId="0" fontId="96" fillId="2" borderId="128" xfId="0" applyFont="1" applyFill="1" applyBorder="1" applyAlignment="1">
      <alignment horizontal="center" vertical="center" wrapText="1"/>
    </xf>
    <xf numFmtId="0" fontId="96" fillId="2" borderId="0" xfId="0" applyFont="1" applyFill="1" applyAlignment="1">
      <alignment horizontal="center" vertical="center" wrapText="1"/>
    </xf>
    <xf numFmtId="0" fontId="96" fillId="2" borderId="148" xfId="0" applyFont="1" applyFill="1" applyBorder="1" applyAlignment="1">
      <alignment horizontal="center" vertical="center" wrapText="1"/>
    </xf>
    <xf numFmtId="0" fontId="96" fillId="2" borderId="40" xfId="0" applyFont="1" applyFill="1" applyBorder="1" applyAlignment="1">
      <alignment horizontal="center" vertical="center" wrapText="1"/>
    </xf>
    <xf numFmtId="0" fontId="98" fillId="2" borderId="146" xfId="0" applyFont="1" applyFill="1" applyBorder="1" applyAlignment="1">
      <alignment horizontal="center" vertical="center" wrapText="1"/>
    </xf>
    <xf numFmtId="0" fontId="98" fillId="2" borderId="33" xfId="0" applyFont="1" applyFill="1" applyBorder="1" applyAlignment="1">
      <alignment horizontal="center" vertical="center" wrapText="1"/>
    </xf>
    <xf numFmtId="0" fontId="98" fillId="2" borderId="128" xfId="0" applyFont="1" applyFill="1" applyBorder="1" applyAlignment="1">
      <alignment horizontal="center" vertical="center" wrapText="1"/>
    </xf>
    <xf numFmtId="0" fontId="98" fillId="2" borderId="0" xfId="0" applyFont="1" applyFill="1" applyAlignment="1">
      <alignment horizontal="center" vertical="center" wrapText="1"/>
    </xf>
    <xf numFmtId="0" fontId="98" fillId="2" borderId="129" xfId="0" applyFont="1" applyFill="1" applyBorder="1" applyAlignment="1">
      <alignment horizontal="center" vertical="center" wrapText="1"/>
    </xf>
    <xf numFmtId="0" fontId="98" fillId="2" borderId="131" xfId="0" applyFont="1" applyFill="1" applyBorder="1" applyAlignment="1">
      <alignment horizontal="center" vertical="center" wrapText="1"/>
    </xf>
    <xf numFmtId="0" fontId="42" fillId="2" borderId="24" xfId="0" applyFont="1" applyFill="1" applyBorder="1" applyAlignment="1">
      <alignment horizontal="right"/>
    </xf>
    <xf numFmtId="0" fontId="42" fillId="2" borderId="123" xfId="0" applyFont="1" applyFill="1" applyBorder="1" applyAlignment="1">
      <alignment horizontal="right"/>
    </xf>
    <xf numFmtId="0" fontId="42" fillId="2" borderId="121" xfId="0" applyFont="1" applyFill="1" applyBorder="1" applyAlignment="1">
      <alignment horizontal="right"/>
    </xf>
    <xf numFmtId="0" fontId="104" fillId="2" borderId="67" xfId="0" applyFont="1" applyFill="1" applyBorder="1" applyAlignment="1">
      <alignment horizontal="center" vertical="center" wrapText="1"/>
    </xf>
    <xf numFmtId="0" fontId="104" fillId="2" borderId="60" xfId="0" applyFont="1" applyFill="1" applyBorder="1" applyAlignment="1">
      <alignment horizontal="center" vertical="center" wrapText="1"/>
    </xf>
    <xf numFmtId="0" fontId="104" fillId="2" borderId="61" xfId="0" applyFont="1" applyFill="1" applyBorder="1" applyAlignment="1">
      <alignment horizontal="center" vertical="center" wrapText="1"/>
    </xf>
    <xf numFmtId="0" fontId="63" fillId="2" borderId="22" xfId="0" applyFont="1" applyFill="1" applyBorder="1" applyAlignment="1">
      <alignment horizontal="left" vertical="center"/>
    </xf>
    <xf numFmtId="0" fontId="64" fillId="2" borderId="22" xfId="0" applyFont="1" applyFill="1" applyBorder="1" applyAlignment="1">
      <alignment horizontal="center"/>
    </xf>
    <xf numFmtId="0" fontId="42" fillId="2" borderId="58" xfId="0" applyFont="1" applyFill="1" applyBorder="1" applyAlignment="1">
      <alignment horizontal="right"/>
    </xf>
    <xf numFmtId="0" fontId="42" fillId="2" borderId="29" xfId="0" applyFont="1" applyFill="1" applyBorder="1" applyAlignment="1">
      <alignment horizontal="right"/>
    </xf>
    <xf numFmtId="0" fontId="65" fillId="7" borderId="303" xfId="0" applyFont="1" applyFill="1" applyBorder="1" applyAlignment="1">
      <alignment horizontal="center" vertical="top" wrapText="1"/>
    </xf>
    <xf numFmtId="0" fontId="150" fillId="63" borderId="62" xfId="0" applyFont="1" applyFill="1" applyBorder="1" applyAlignment="1">
      <alignment horizontal="right"/>
    </xf>
    <xf numFmtId="0" fontId="150" fillId="63" borderId="299" xfId="0" applyFont="1" applyFill="1" applyBorder="1" applyAlignment="1">
      <alignment horizontal="right"/>
    </xf>
    <xf numFmtId="0" fontId="147" fillId="62" borderId="300" xfId="0" applyFont="1" applyFill="1" applyBorder="1" applyAlignment="1">
      <alignment horizontal="center"/>
    </xf>
    <xf numFmtId="0" fontId="147" fillId="62" borderId="301" xfId="0" applyFont="1" applyFill="1" applyBorder="1" applyAlignment="1">
      <alignment horizontal="center"/>
    </xf>
    <xf numFmtId="0" fontId="147" fillId="62" borderId="302" xfId="0" applyFont="1" applyFill="1" applyBorder="1" applyAlignment="1">
      <alignment horizontal="center"/>
    </xf>
    <xf numFmtId="0" fontId="42" fillId="6" borderId="104" xfId="0" applyFont="1" applyFill="1" applyBorder="1" applyAlignment="1">
      <alignment horizontal="center"/>
    </xf>
    <xf numFmtId="0" fontId="146" fillId="11" borderId="161" xfId="0" applyFont="1" applyFill="1" applyBorder="1" applyAlignment="1">
      <alignment horizontal="center" vertical="center"/>
    </xf>
    <xf numFmtId="0" fontId="146" fillId="11" borderId="110" xfId="0" applyFont="1" applyFill="1" applyBorder="1" applyAlignment="1">
      <alignment horizontal="center" vertical="center"/>
    </xf>
    <xf numFmtId="0" fontId="146" fillId="11" borderId="123" xfId="0" applyFont="1" applyFill="1" applyBorder="1" applyAlignment="1">
      <alignment horizontal="center" vertical="center"/>
    </xf>
    <xf numFmtId="0" fontId="147" fillId="62" borderId="62" xfId="0" applyFont="1" applyFill="1" applyBorder="1" applyAlignment="1">
      <alignment horizontal="center"/>
    </xf>
    <xf numFmtId="0" fontId="147" fillId="62" borderId="299" xfId="0" applyFont="1" applyFill="1" applyBorder="1" applyAlignment="1">
      <alignment horizontal="center"/>
    </xf>
    <xf numFmtId="0" fontId="147" fillId="63" borderId="292" xfId="0" applyFont="1" applyFill="1" applyBorder="1" applyAlignment="1">
      <alignment horizontal="center" vertical="top"/>
    </xf>
    <xf numFmtId="0" fontId="147" fillId="63" borderId="293" xfId="0" applyFont="1" applyFill="1" applyBorder="1" applyAlignment="1">
      <alignment horizontal="center" vertical="top"/>
    </xf>
    <xf numFmtId="0" fontId="147" fillId="63" borderId="294" xfId="0" applyFont="1" applyFill="1" applyBorder="1" applyAlignment="1">
      <alignment horizontal="center" vertical="top"/>
    </xf>
    <xf numFmtId="165" fontId="0" fillId="7" borderId="295" xfId="0" applyNumberFormat="1" applyFill="1" applyBorder="1" applyAlignment="1">
      <alignment horizontal="center"/>
    </xf>
    <xf numFmtId="165" fontId="0" fillId="7" borderId="294" xfId="0" applyNumberFormat="1" applyFill="1" applyBorder="1" applyAlignment="1">
      <alignment horizontal="center"/>
    </xf>
    <xf numFmtId="0" fontId="65" fillId="7" borderId="295" xfId="0" applyFont="1" applyFill="1" applyBorder="1" applyAlignment="1">
      <alignment horizontal="center"/>
    </xf>
    <xf numFmtId="0" fontId="65" fillId="7" borderId="293" xfId="0" applyFont="1" applyFill="1" applyBorder="1" applyAlignment="1">
      <alignment horizontal="center"/>
    </xf>
    <xf numFmtId="0" fontId="65" fillId="7" borderId="296" xfId="0" applyFont="1" applyFill="1" applyBorder="1" applyAlignment="1">
      <alignment horizontal="center"/>
    </xf>
    <xf numFmtId="0" fontId="147" fillId="63" borderId="42" xfId="0" applyFont="1" applyFill="1" applyBorder="1" applyAlignment="1">
      <alignment horizontal="center" vertical="top" wrapText="1"/>
    </xf>
    <xf numFmtId="0" fontId="147" fillId="63" borderId="43" xfId="0" applyFont="1" applyFill="1" applyBorder="1" applyAlignment="1">
      <alignment horizontal="center" vertical="top" wrapText="1"/>
    </xf>
    <xf numFmtId="0" fontId="147" fillId="63" borderId="298" xfId="0" applyFont="1" applyFill="1" applyBorder="1" applyAlignment="1">
      <alignment horizontal="center" vertical="top" wrapText="1"/>
    </xf>
    <xf numFmtId="0" fontId="0" fillId="0" borderId="297" xfId="0" applyBorder="1" applyAlignment="1">
      <alignment horizontal="center"/>
    </xf>
    <xf numFmtId="0" fontId="0" fillId="0" borderId="298" xfId="0" applyBorder="1" applyAlignment="1">
      <alignment horizontal="center"/>
    </xf>
    <xf numFmtId="0" fontId="65" fillId="7" borderId="297" xfId="0" applyFont="1" applyFill="1" applyBorder="1" applyAlignment="1">
      <alignment horizontal="center"/>
    </xf>
    <xf numFmtId="0" fontId="65" fillId="7" borderId="43" xfId="0" applyFont="1" applyFill="1" applyBorder="1" applyAlignment="1">
      <alignment horizontal="center"/>
    </xf>
    <xf numFmtId="0" fontId="65" fillId="7" borderId="44" xfId="0" applyFont="1" applyFill="1" applyBorder="1" applyAlignment="1">
      <alignment horizontal="center"/>
    </xf>
    <xf numFmtId="0" fontId="0" fillId="0" borderId="59" xfId="0" applyBorder="1" applyAlignment="1">
      <alignment horizontal="center"/>
    </xf>
    <xf numFmtId="0" fontId="0" fillId="0" borderId="288" xfId="0" applyBorder="1" applyAlignment="1">
      <alignment horizontal="center"/>
    </xf>
    <xf numFmtId="166" fontId="14" fillId="7" borderId="59" xfId="0" applyNumberFormat="1" applyFont="1" applyFill="1" applyBorder="1" applyAlignment="1">
      <alignment horizontal="center" wrapText="1"/>
    </xf>
    <xf numFmtId="166" fontId="14" fillId="7" borderId="60" xfId="0" applyNumberFormat="1" applyFont="1" applyFill="1" applyBorder="1" applyAlignment="1">
      <alignment horizontal="center" wrapText="1"/>
    </xf>
    <xf numFmtId="166" fontId="14" fillId="7" borderId="61" xfId="0" applyNumberFormat="1" applyFont="1" applyFill="1" applyBorder="1" applyAlignment="1">
      <alignment horizontal="center" wrapText="1"/>
    </xf>
    <xf numFmtId="165" fontId="0" fillId="7" borderId="24" xfId="0" applyNumberFormat="1" applyFill="1" applyBorder="1" applyAlignment="1">
      <alignment horizontal="center"/>
    </xf>
    <xf numFmtId="165" fontId="0" fillId="7" borderId="63" xfId="0" applyNumberFormat="1" applyFill="1" applyBorder="1" applyAlignment="1">
      <alignment horizontal="center"/>
    </xf>
    <xf numFmtId="0" fontId="65" fillId="7" borderId="24" xfId="0" applyFont="1" applyFill="1" applyBorder="1" applyAlignment="1">
      <alignment horizontal="center"/>
    </xf>
    <xf numFmtId="0" fontId="65" fillId="7" borderId="62" xfId="0" applyFont="1" applyFill="1" applyBorder="1" applyAlignment="1">
      <alignment horizontal="center"/>
    </xf>
    <xf numFmtId="0" fontId="65" fillId="7" borderId="66" xfId="0" applyFont="1" applyFill="1" applyBorder="1" applyAlignment="1">
      <alignment horizontal="center"/>
    </xf>
    <xf numFmtId="0" fontId="147" fillId="63" borderId="67" xfId="0" applyFont="1" applyFill="1" applyBorder="1" applyAlignment="1">
      <alignment horizontal="center" vertical="top"/>
    </xf>
    <xf numFmtId="0" fontId="147" fillId="63" borderId="60" xfId="0" applyFont="1" applyFill="1" applyBorder="1" applyAlignment="1">
      <alignment horizontal="center" vertical="top"/>
    </xf>
    <xf numFmtId="0" fontId="147" fillId="63" borderId="288" xfId="0" applyFont="1" applyFill="1" applyBorder="1" applyAlignment="1">
      <alignment horizontal="center" vertical="top"/>
    </xf>
    <xf numFmtId="0" fontId="44" fillId="0" borderId="24" xfId="0" applyFont="1" applyBorder="1" applyAlignment="1">
      <alignment horizontal="center"/>
    </xf>
    <xf numFmtId="0" fontId="44" fillId="0" borderId="63" xfId="0" applyFont="1" applyBorder="1" applyAlignment="1">
      <alignment horizontal="center"/>
    </xf>
    <xf numFmtId="0" fontId="42" fillId="63" borderId="292" xfId="0" applyFont="1" applyFill="1" applyBorder="1" applyAlignment="1">
      <alignment horizontal="center" vertical="top"/>
    </xf>
    <xf numFmtId="0" fontId="42" fillId="63" borderId="293" xfId="0" applyFont="1" applyFill="1" applyBorder="1" applyAlignment="1">
      <alignment horizontal="center" vertical="top"/>
    </xf>
    <xf numFmtId="0" fontId="42" fillId="63" borderId="294" xfId="0" applyFont="1" applyFill="1" applyBorder="1" applyAlignment="1">
      <alignment horizontal="center" vertical="top"/>
    </xf>
    <xf numFmtId="0" fontId="0" fillId="0" borderId="295" xfId="0" applyBorder="1" applyAlignment="1">
      <alignment horizontal="center"/>
    </xf>
    <xf numFmtId="0" fontId="0" fillId="0" borderId="294" xfId="0" applyBorder="1" applyAlignment="1">
      <alignment horizontal="center"/>
    </xf>
    <xf numFmtId="0" fontId="44" fillId="0" borderId="295" xfId="0" applyFont="1" applyBorder="1" applyAlignment="1">
      <alignment horizontal="center"/>
    </xf>
    <xf numFmtId="0" fontId="44" fillId="0" borderId="294" xfId="0" applyFont="1" applyBorder="1" applyAlignment="1">
      <alignment horizontal="center"/>
    </xf>
    <xf numFmtId="0" fontId="65" fillId="7" borderId="59" xfId="0" applyFont="1" applyFill="1" applyBorder="1" applyAlignment="1">
      <alignment horizontal="center"/>
    </xf>
    <xf numFmtId="0" fontId="65" fillId="7" borderId="60" xfId="0" applyFont="1" applyFill="1" applyBorder="1" applyAlignment="1">
      <alignment horizontal="center"/>
    </xf>
    <xf numFmtId="0" fontId="65" fillId="7" borderId="61" xfId="0" applyFont="1" applyFill="1" applyBorder="1" applyAlignment="1">
      <alignment horizontal="center"/>
    </xf>
    <xf numFmtId="0" fontId="65" fillId="7" borderId="24" xfId="0" applyFont="1" applyFill="1" applyBorder="1" applyAlignment="1">
      <alignment horizontal="center" wrapText="1"/>
    </xf>
    <xf numFmtId="0" fontId="65" fillId="7" borderId="62" xfId="0" applyFont="1" applyFill="1" applyBorder="1" applyAlignment="1">
      <alignment horizontal="center" wrapText="1"/>
    </xf>
    <xf numFmtId="0" fontId="65" fillId="7" borderId="66" xfId="0" applyFont="1" applyFill="1" applyBorder="1" applyAlignment="1">
      <alignment horizontal="center" wrapText="1"/>
    </xf>
    <xf numFmtId="0" fontId="146" fillId="11" borderId="289" xfId="0" applyFont="1" applyFill="1" applyBorder="1" applyAlignment="1">
      <alignment horizontal="center" vertical="center"/>
    </xf>
    <xf numFmtId="0" fontId="146" fillId="11" borderId="291" xfId="0" applyFont="1" applyFill="1" applyBorder="1" applyAlignment="1">
      <alignment horizontal="center" vertical="center"/>
    </xf>
    <xf numFmtId="0" fontId="146" fillId="11" borderId="145" xfId="0" applyFont="1" applyFill="1" applyBorder="1" applyAlignment="1">
      <alignment horizontal="center" vertical="center"/>
    </xf>
    <xf numFmtId="0" fontId="146" fillId="11" borderId="290" xfId="0" applyFont="1" applyFill="1" applyBorder="1" applyAlignment="1">
      <alignment horizontal="center" vertical="center"/>
    </xf>
    <xf numFmtId="0" fontId="0" fillId="0" borderId="24" xfId="0" applyBorder="1" applyAlignment="1">
      <alignment horizontal="center"/>
    </xf>
    <xf numFmtId="0" fontId="0" fillId="0" borderId="63" xfId="0" applyBorder="1" applyAlignment="1">
      <alignment horizontal="center"/>
    </xf>
    <xf numFmtId="0" fontId="104" fillId="2" borderId="50" xfId="0" applyFont="1" applyFill="1" applyBorder="1" applyAlignment="1">
      <alignment horizontal="center" vertical="center"/>
    </xf>
    <xf numFmtId="0" fontId="104" fillId="2" borderId="28" xfId="0" applyFont="1" applyFill="1" applyBorder="1" applyAlignment="1">
      <alignment horizontal="center" vertical="center"/>
    </xf>
    <xf numFmtId="0" fontId="104" fillId="2" borderId="57" xfId="0" applyFont="1" applyFill="1" applyBorder="1" applyAlignment="1">
      <alignment horizontal="center" vertical="center" wrapText="1"/>
    </xf>
    <xf numFmtId="0" fontId="104" fillId="2" borderId="31" xfId="0" applyFont="1" applyFill="1" applyBorder="1" applyAlignment="1">
      <alignment horizontal="center" vertical="center" wrapText="1"/>
    </xf>
    <xf numFmtId="0" fontId="104" fillId="2" borderId="48" xfId="0" applyFont="1" applyFill="1" applyBorder="1" applyAlignment="1">
      <alignment horizontal="center" vertical="center" wrapText="1"/>
    </xf>
    <xf numFmtId="0" fontId="42" fillId="2" borderId="105" xfId="0" applyFont="1" applyFill="1" applyBorder="1" applyAlignment="1">
      <alignment horizontal="right" vertical="center" wrapText="1"/>
    </xf>
    <xf numFmtId="0" fontId="42" fillId="2" borderId="30" xfId="0" applyFont="1" applyFill="1" applyBorder="1" applyAlignment="1">
      <alignment horizontal="right" vertical="center" wrapText="1"/>
    </xf>
    <xf numFmtId="0" fontId="42" fillId="2" borderId="58" xfId="0" applyFont="1" applyFill="1" applyBorder="1" applyAlignment="1">
      <alignment horizontal="right" vertical="center" wrapText="1"/>
    </xf>
    <xf numFmtId="0" fontId="42" fillId="2" borderId="35" xfId="0" applyFont="1" applyFill="1" applyBorder="1" applyAlignment="1">
      <alignment horizontal="left" vertical="center" wrapText="1"/>
    </xf>
    <xf numFmtId="0" fontId="42" fillId="2" borderId="22" xfId="0" applyFont="1" applyFill="1" applyBorder="1" applyAlignment="1">
      <alignment horizontal="left" vertical="center" wrapText="1"/>
    </xf>
    <xf numFmtId="0" fontId="75" fillId="2" borderId="149" xfId="0" applyFont="1" applyFill="1" applyBorder="1" applyAlignment="1">
      <alignment horizontal="center" vertical="center" wrapText="1"/>
    </xf>
    <xf numFmtId="0" fontId="75" fillId="2" borderId="131" xfId="0" applyFont="1" applyFill="1" applyBorder="1" applyAlignment="1">
      <alignment horizontal="center" vertical="center" wrapText="1"/>
    </xf>
    <xf numFmtId="0" fontId="75" fillId="2" borderId="160" xfId="0" applyFont="1" applyFill="1" applyBorder="1" applyAlignment="1">
      <alignment horizontal="center" vertical="center" wrapText="1"/>
    </xf>
    <xf numFmtId="0" fontId="63" fillId="2" borderId="35" xfId="0" applyFont="1" applyFill="1" applyBorder="1" applyAlignment="1">
      <alignment horizontal="right" vertical="center" wrapText="1"/>
    </xf>
    <xf numFmtId="0" fontId="63" fillId="2" borderId="22" xfId="0" applyFont="1" applyFill="1" applyBorder="1" applyAlignment="1">
      <alignment horizontal="right" vertical="center" wrapText="1"/>
    </xf>
    <xf numFmtId="0" fontId="75" fillId="2" borderId="158" xfId="0" applyFont="1" applyFill="1" applyBorder="1" applyAlignment="1">
      <alignment horizontal="center"/>
    </xf>
    <xf numFmtId="0" fontId="75" fillId="2" borderId="124" xfId="0" applyFont="1" applyFill="1" applyBorder="1" applyAlignment="1">
      <alignment horizontal="center"/>
    </xf>
    <xf numFmtId="0" fontId="75" fillId="2" borderId="159" xfId="0" applyFont="1" applyFill="1" applyBorder="1" applyAlignment="1">
      <alignment horizontal="center"/>
    </xf>
    <xf numFmtId="0" fontId="42" fillId="2" borderId="35"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101" fillId="2" borderId="37" xfId="0" applyFont="1" applyFill="1" applyBorder="1" applyAlignment="1">
      <alignment horizontal="center" vertical="center" wrapText="1"/>
    </xf>
    <xf numFmtId="0" fontId="101" fillId="2" borderId="0" xfId="0" applyFont="1" applyFill="1" applyAlignment="1">
      <alignment horizontal="center" vertical="center" wrapText="1"/>
    </xf>
    <xf numFmtId="0" fontId="101" fillId="2" borderId="38" xfId="0" applyFont="1" applyFill="1" applyBorder="1" applyAlignment="1">
      <alignment horizontal="center" vertical="center" wrapText="1"/>
    </xf>
    <xf numFmtId="0" fontId="17" fillId="11" borderId="0" xfId="0" applyFont="1" applyFill="1" applyAlignment="1">
      <alignment horizontal="center" vertical="center" wrapText="1"/>
    </xf>
    <xf numFmtId="0" fontId="42" fillId="2" borderId="45" xfId="0" applyFont="1" applyFill="1" applyBorder="1" applyAlignment="1">
      <alignment horizontal="right" vertical="center" wrapText="1"/>
    </xf>
    <xf numFmtId="0" fontId="42" fillId="2" borderId="23" xfId="0" applyFont="1" applyFill="1" applyBorder="1" applyAlignment="1">
      <alignment horizontal="right" vertical="center" wrapText="1"/>
    </xf>
    <xf numFmtId="0" fontId="42" fillId="2" borderId="70" xfId="0" applyFont="1" applyFill="1" applyBorder="1" applyAlignment="1">
      <alignment horizontal="right"/>
    </xf>
    <xf numFmtId="0" fontId="42" fillId="2" borderId="155" xfId="0" applyFont="1" applyFill="1" applyBorder="1" applyAlignment="1">
      <alignment horizontal="right"/>
    </xf>
    <xf numFmtId="0" fontId="146" fillId="11" borderId="121" xfId="0" applyFont="1" applyFill="1" applyBorder="1" applyAlignment="1">
      <alignment horizontal="center" vertical="center"/>
    </xf>
    <xf numFmtId="0" fontId="146" fillId="11" borderId="162" xfId="0" applyFont="1" applyFill="1" applyBorder="1" applyAlignment="1">
      <alignment horizontal="center" vertical="center"/>
    </xf>
    <xf numFmtId="0" fontId="51" fillId="2" borderId="24" xfId="0" applyFont="1" applyFill="1" applyBorder="1" applyAlignment="1">
      <alignment horizontal="center"/>
    </xf>
    <xf numFmtId="0" fontId="51" fillId="2" borderId="62" xfId="0" applyFont="1" applyFill="1" applyBorder="1" applyAlignment="1">
      <alignment horizontal="center"/>
    </xf>
    <xf numFmtId="0" fontId="51" fillId="2" borderId="47" xfId="0" applyFont="1" applyFill="1" applyBorder="1" applyAlignment="1">
      <alignment horizontal="center"/>
    </xf>
    <xf numFmtId="0" fontId="12" fillId="2" borderId="65" xfId="0" applyFont="1" applyFill="1" applyBorder="1" applyAlignment="1">
      <alignment horizontal="center"/>
    </xf>
    <xf numFmtId="0" fontId="12" fillId="2" borderId="62" xfId="0" applyFont="1" applyFill="1" applyBorder="1" applyAlignment="1">
      <alignment horizontal="center"/>
    </xf>
    <xf numFmtId="0" fontId="12" fillId="2" borderId="63" xfId="0" applyFont="1" applyFill="1" applyBorder="1" applyAlignment="1">
      <alignment horizontal="center"/>
    </xf>
    <xf numFmtId="0" fontId="12" fillId="2" borderId="161" xfId="0" applyFont="1" applyFill="1" applyBorder="1" applyAlignment="1">
      <alignment horizontal="center"/>
    </xf>
    <xf numFmtId="0" fontId="12" fillId="2" borderId="110" xfId="0" applyFont="1" applyFill="1" applyBorder="1" applyAlignment="1">
      <alignment horizontal="center"/>
    </xf>
    <xf numFmtId="0" fontId="12" fillId="2" borderId="123" xfId="0" applyFont="1" applyFill="1" applyBorder="1" applyAlignment="1">
      <alignment horizontal="center"/>
    </xf>
    <xf numFmtId="0" fontId="115" fillId="61" borderId="228" xfId="4" applyFont="1" applyFill="1" applyBorder="1" applyAlignment="1">
      <alignment horizontal="center" vertical="justify" textRotation="90" wrapText="1"/>
    </xf>
    <xf numFmtId="0" fontId="115" fillId="61" borderId="232" xfId="4" applyFont="1" applyFill="1" applyBorder="1" applyAlignment="1">
      <alignment horizontal="center" vertical="justify" textRotation="90" wrapText="1"/>
    </xf>
    <xf numFmtId="0" fontId="115" fillId="61" borderId="251" xfId="4" applyFont="1" applyFill="1" applyBorder="1" applyAlignment="1">
      <alignment horizontal="center" vertical="justify" textRotation="90" wrapText="1"/>
    </xf>
    <xf numFmtId="0" fontId="115" fillId="38" borderId="228" xfId="4" applyFont="1" applyFill="1" applyBorder="1" applyAlignment="1">
      <alignment horizontal="center" vertical="center" wrapText="1"/>
    </xf>
    <xf numFmtId="0" fontId="115" fillId="38" borderId="232" xfId="4" applyFont="1" applyFill="1" applyBorder="1" applyAlignment="1">
      <alignment horizontal="center" vertical="center" wrapText="1"/>
    </xf>
    <xf numFmtId="0" fontId="115" fillId="38" borderId="251" xfId="4" applyFont="1" applyFill="1" applyBorder="1" applyAlignment="1">
      <alignment horizontal="center" vertical="center" wrapText="1"/>
    </xf>
    <xf numFmtId="0" fontId="38" fillId="0" borderId="71" xfId="4" applyBorder="1" applyAlignment="1">
      <alignment horizontal="center"/>
    </xf>
    <xf numFmtId="0" fontId="38" fillId="0" borderId="72" xfId="4" applyBorder="1" applyAlignment="1">
      <alignment horizontal="center"/>
    </xf>
    <xf numFmtId="8" fontId="115" fillId="56" borderId="242" xfId="4" applyNumberFormat="1" applyFont="1" applyFill="1" applyBorder="1" applyAlignment="1">
      <alignment horizontal="center"/>
    </xf>
    <xf numFmtId="8" fontId="115" fillId="56" borderId="255" xfId="4" applyNumberFormat="1" applyFont="1" applyFill="1" applyBorder="1" applyAlignment="1">
      <alignment horizontal="center"/>
    </xf>
    <xf numFmtId="8" fontId="115" fillId="38" borderId="242" xfId="4" applyNumberFormat="1" applyFont="1" applyFill="1" applyBorder="1" applyAlignment="1">
      <alignment horizontal="center"/>
    </xf>
    <xf numFmtId="8" fontId="115" fillId="38" borderId="255" xfId="4" applyNumberFormat="1" applyFont="1" applyFill="1" applyBorder="1" applyAlignment="1">
      <alignment horizontal="center"/>
    </xf>
    <xf numFmtId="10" fontId="115" fillId="7" borderId="242" xfId="6" applyNumberFormat="1" applyFont="1" applyFill="1" applyBorder="1" applyAlignment="1" applyProtection="1">
      <alignment horizontal="center" wrapText="1"/>
    </xf>
    <xf numFmtId="10" fontId="115" fillId="7" borderId="255" xfId="6" applyNumberFormat="1" applyFont="1" applyFill="1" applyBorder="1" applyAlignment="1" applyProtection="1">
      <alignment horizontal="center" wrapText="1"/>
    </xf>
    <xf numFmtId="0" fontId="115" fillId="46" borderId="228" xfId="4" applyFont="1" applyFill="1" applyBorder="1" applyAlignment="1">
      <alignment horizontal="center" vertical="center" wrapText="1"/>
    </xf>
    <xf numFmtId="0" fontId="115" fillId="46" borderId="232" xfId="4" applyFont="1" applyFill="1" applyBorder="1" applyAlignment="1">
      <alignment horizontal="center" vertical="center" wrapText="1"/>
    </xf>
    <xf numFmtId="0" fontId="115" fillId="46" borderId="251" xfId="4" applyFont="1" applyFill="1" applyBorder="1" applyAlignment="1">
      <alignment horizontal="center" vertical="center" wrapText="1"/>
    </xf>
    <xf numFmtId="182" fontId="136" fillId="7" borderId="242" xfId="4" applyNumberFormat="1" applyFont="1" applyFill="1" applyBorder="1" applyAlignment="1">
      <alignment horizontal="center"/>
    </xf>
    <xf numFmtId="182" fontId="136" fillId="7" borderId="255" xfId="4" applyNumberFormat="1" applyFont="1" applyFill="1" applyBorder="1" applyAlignment="1">
      <alignment horizontal="center"/>
    </xf>
    <xf numFmtId="0" fontId="131" fillId="0" borderId="0" xfId="4" applyFont="1" applyAlignment="1">
      <alignment horizontal="left"/>
    </xf>
    <xf numFmtId="182" fontId="38" fillId="7" borderId="273" xfId="4" applyNumberFormat="1" applyFill="1" applyBorder="1" applyAlignment="1">
      <alignment horizontal="center" vertical="center"/>
    </xf>
    <xf numFmtId="182" fontId="38" fillId="7" borderId="274" xfId="4" applyNumberFormat="1" applyFill="1" applyBorder="1" applyAlignment="1">
      <alignment horizontal="center" vertical="center"/>
    </xf>
    <xf numFmtId="182" fontId="38" fillId="38" borderId="236" xfId="4" applyNumberFormat="1" applyFill="1" applyBorder="1" applyAlignment="1">
      <alignment horizontal="center" vertical="center"/>
    </xf>
    <xf numFmtId="182" fontId="38" fillId="7" borderId="276" xfId="4" applyNumberFormat="1" applyFill="1" applyBorder="1" applyAlignment="1">
      <alignment horizontal="center" vertical="center"/>
    </xf>
    <xf numFmtId="182" fontId="38" fillId="7" borderId="93" xfId="4" applyNumberFormat="1" applyFill="1" applyBorder="1" applyAlignment="1">
      <alignment horizontal="center" vertical="center"/>
    </xf>
    <xf numFmtId="182" fontId="38" fillId="38" borderId="246" xfId="4" applyNumberFormat="1" applyFill="1" applyBorder="1" applyAlignment="1">
      <alignment horizontal="center" vertical="center"/>
    </xf>
    <xf numFmtId="182" fontId="38" fillId="38" borderId="257" xfId="4" applyNumberFormat="1" applyFill="1" applyBorder="1" applyAlignment="1">
      <alignment horizontal="center" vertical="center"/>
    </xf>
    <xf numFmtId="0" fontId="129" fillId="7" borderId="0" xfId="4" applyFont="1" applyFill="1" applyAlignment="1">
      <alignment horizontal="center"/>
    </xf>
    <xf numFmtId="182" fontId="115" fillId="0" borderId="246" xfId="4" applyNumberFormat="1" applyFont="1" applyBorder="1" applyAlignment="1">
      <alignment horizontal="center" vertical="center"/>
    </xf>
    <xf numFmtId="182" fontId="115" fillId="0" borderId="257" xfId="4" applyNumberFormat="1" applyFont="1" applyBorder="1" applyAlignment="1">
      <alignment horizontal="center" vertical="center"/>
    </xf>
    <xf numFmtId="0" fontId="119" fillId="7" borderId="3" xfId="4" applyFont="1" applyFill="1" applyBorder="1" applyAlignment="1">
      <alignment horizontal="center"/>
    </xf>
    <xf numFmtId="0" fontId="119" fillId="7" borderId="6" xfId="4" applyFont="1" applyFill="1" applyBorder="1" applyAlignment="1">
      <alignment horizontal="center"/>
    </xf>
    <xf numFmtId="0" fontId="119" fillId="7" borderId="5" xfId="4" applyFont="1" applyFill="1" applyBorder="1" applyAlignment="1">
      <alignment horizontal="center"/>
    </xf>
    <xf numFmtId="0" fontId="115" fillId="61" borderId="228" xfId="4" applyFont="1" applyFill="1" applyBorder="1" applyAlignment="1">
      <alignment horizontal="center" vertical="center" textRotation="90" wrapText="1"/>
    </xf>
    <xf numFmtId="0" fontId="115" fillId="61" borderId="232" xfId="4" applyFont="1" applyFill="1" applyBorder="1" applyAlignment="1">
      <alignment horizontal="center" vertical="center" textRotation="90" wrapText="1"/>
    </xf>
    <xf numFmtId="0" fontId="115" fillId="61" borderId="251" xfId="4" applyFont="1" applyFill="1" applyBorder="1" applyAlignment="1">
      <alignment horizontal="center" vertical="center" textRotation="90" wrapText="1"/>
    </xf>
    <xf numFmtId="0" fontId="131" fillId="7" borderId="0" xfId="4" applyFont="1" applyFill="1" applyAlignment="1">
      <alignment horizontal="left"/>
    </xf>
    <xf numFmtId="0" fontId="131" fillId="7" borderId="73" xfId="4" applyFont="1" applyFill="1" applyBorder="1" applyAlignment="1">
      <alignment horizontal="left"/>
    </xf>
    <xf numFmtId="0" fontId="115" fillId="46" borderId="242" xfId="4" applyFont="1" applyFill="1" applyBorder="1" applyAlignment="1">
      <alignment horizontal="center" vertical="center" wrapText="1"/>
    </xf>
    <xf numFmtId="0" fontId="115" fillId="46" borderId="242" xfId="4" applyFont="1" applyFill="1" applyBorder="1" applyAlignment="1">
      <alignment horizontal="center" vertical="center"/>
    </xf>
    <xf numFmtId="0" fontId="115" fillId="46" borderId="246" xfId="4" applyFont="1" applyFill="1" applyBorder="1" applyAlignment="1">
      <alignment horizontal="center" vertical="center"/>
    </xf>
    <xf numFmtId="0" fontId="115" fillId="47" borderId="252" xfId="4" applyFont="1" applyFill="1" applyBorder="1" applyAlignment="1">
      <alignment horizontal="center" vertical="center" textRotation="90" wrapText="1"/>
    </xf>
    <xf numFmtId="0" fontId="115" fillId="0" borderId="261" xfId="4" applyFont="1" applyBorder="1" applyAlignment="1">
      <alignment horizontal="center" vertical="center"/>
    </xf>
    <xf numFmtId="0" fontId="115" fillId="0" borderId="0" xfId="4" applyFont="1" applyAlignment="1">
      <alignment horizontal="center" vertical="center"/>
    </xf>
    <xf numFmtId="3" fontId="115" fillId="0" borderId="210" xfId="4" applyNumberFormat="1" applyFont="1" applyBorder="1" applyAlignment="1">
      <alignment horizontal="center" vertical="center"/>
    </xf>
    <xf numFmtId="3" fontId="115" fillId="0" borderId="236" xfId="4" applyNumberFormat="1" applyFont="1" applyBorder="1" applyAlignment="1">
      <alignment horizontal="center" vertical="center"/>
    </xf>
    <xf numFmtId="0" fontId="115" fillId="47" borderId="228" xfId="4" applyFont="1" applyFill="1" applyBorder="1" applyAlignment="1">
      <alignment horizontal="center" vertical="center" textRotation="90"/>
    </xf>
    <xf numFmtId="0" fontId="115" fillId="47" borderId="232" xfId="4" applyFont="1" applyFill="1" applyBorder="1" applyAlignment="1">
      <alignment horizontal="center" vertical="center" textRotation="90"/>
    </xf>
    <xf numFmtId="0" fontId="115" fillId="47" borderId="251" xfId="4" applyFont="1" applyFill="1" applyBorder="1" applyAlignment="1">
      <alignment horizontal="center" vertical="center" textRotation="90"/>
    </xf>
    <xf numFmtId="0" fontId="52" fillId="45" borderId="3" xfId="4" applyFont="1" applyFill="1" applyBorder="1" applyAlignment="1" applyProtection="1">
      <alignment horizontal="center" vertical="center" wrapText="1"/>
      <protection locked="0"/>
    </xf>
    <xf numFmtId="0" fontId="52" fillId="45" borderId="6" xfId="4" applyFont="1" applyFill="1" applyBorder="1" applyAlignment="1" applyProtection="1">
      <alignment horizontal="center" vertical="center" wrapText="1"/>
      <protection locked="0"/>
    </xf>
    <xf numFmtId="0" fontId="52" fillId="45" borderId="5" xfId="4" applyFont="1" applyFill="1" applyBorder="1" applyProtection="1">
      <protection locked="0"/>
    </xf>
    <xf numFmtId="0" fontId="115" fillId="47" borderId="228" xfId="4" applyFont="1" applyFill="1" applyBorder="1" applyAlignment="1">
      <alignment horizontal="center" vertical="center" textRotation="90" wrapText="1"/>
    </xf>
    <xf numFmtId="0" fontId="115" fillId="47" borderId="232" xfId="4" applyFont="1" applyFill="1" applyBorder="1" applyAlignment="1">
      <alignment horizontal="center" vertical="center" textRotation="90" wrapText="1"/>
    </xf>
    <xf numFmtId="0" fontId="115" fillId="47" borderId="251" xfId="4" applyFont="1" applyFill="1" applyBorder="1" applyAlignment="1">
      <alignment horizontal="center" vertical="center" textRotation="90" wrapText="1"/>
    </xf>
    <xf numFmtId="0" fontId="115" fillId="46" borderId="229" xfId="4" applyFont="1" applyFill="1" applyBorder="1" applyAlignment="1">
      <alignment horizontal="center" vertical="center" wrapText="1"/>
    </xf>
    <xf numFmtId="0" fontId="115" fillId="46" borderId="233" xfId="4" applyFont="1" applyFill="1" applyBorder="1" applyAlignment="1">
      <alignment horizontal="center" vertical="center" wrapText="1"/>
    </xf>
    <xf numFmtId="0" fontId="38" fillId="46" borderId="234" xfId="4" applyFill="1" applyBorder="1" applyAlignment="1">
      <alignment horizontal="center" vertical="center" wrapText="1"/>
    </xf>
    <xf numFmtId="0" fontId="38" fillId="46" borderId="237" xfId="4" applyFill="1" applyBorder="1" applyAlignment="1">
      <alignment horizontal="center" vertical="center" wrapText="1"/>
    </xf>
    <xf numFmtId="0" fontId="115" fillId="38" borderId="230" xfId="4" applyFont="1" applyFill="1" applyBorder="1" applyAlignment="1" applyProtection="1">
      <alignment horizontal="center" vertical="center" wrapText="1"/>
      <protection locked="0"/>
    </xf>
    <xf numFmtId="0" fontId="38" fillId="38" borderId="231" xfId="4" applyFill="1" applyBorder="1" applyAlignment="1">
      <alignment horizontal="center" vertical="center"/>
    </xf>
    <xf numFmtId="0" fontId="115" fillId="38" borderId="235" xfId="4" applyFont="1" applyFill="1" applyBorder="1" applyAlignment="1" applyProtection="1">
      <alignment horizontal="center" vertical="center" wrapText="1"/>
      <protection locked="0"/>
    </xf>
    <xf numFmtId="0" fontId="38" fillId="38" borderId="236" xfId="4" applyFill="1" applyBorder="1" applyAlignment="1">
      <alignment horizontal="center" vertical="center"/>
    </xf>
    <xf numFmtId="0" fontId="124" fillId="38" borderId="235" xfId="4" applyFont="1" applyFill="1" applyBorder="1" applyAlignment="1" applyProtection="1">
      <alignment horizontal="center" vertical="center" wrapText="1"/>
      <protection locked="0"/>
    </xf>
    <xf numFmtId="0" fontId="124" fillId="38" borderId="236" xfId="4" applyFont="1" applyFill="1" applyBorder="1" applyAlignment="1" applyProtection="1">
      <alignment horizontal="center" vertical="center" wrapText="1"/>
      <protection locked="0"/>
    </xf>
    <xf numFmtId="0" fontId="115" fillId="46" borderId="240" xfId="4" applyFont="1" applyFill="1" applyBorder="1" applyAlignment="1">
      <alignment horizontal="center" vertical="center" wrapText="1"/>
    </xf>
    <xf numFmtId="0" fontId="38" fillId="46" borderId="242" xfId="4" applyFill="1" applyBorder="1" applyAlignment="1">
      <alignment horizontal="center" vertical="center"/>
    </xf>
    <xf numFmtId="0" fontId="38" fillId="46" borderId="246" xfId="4" applyFill="1" applyBorder="1" applyAlignment="1">
      <alignment horizontal="center" vertical="center"/>
    </xf>
    <xf numFmtId="0" fontId="115" fillId="41" borderId="76" xfId="4" applyFont="1" applyFill="1" applyBorder="1" applyAlignment="1">
      <alignment horizontal="center" vertical="center" wrapText="1"/>
    </xf>
    <xf numFmtId="0" fontId="115" fillId="41" borderId="84" xfId="4" applyFont="1" applyFill="1" applyBorder="1" applyAlignment="1">
      <alignment horizontal="center" vertical="center" wrapText="1"/>
    </xf>
    <xf numFmtId="0" fontId="115" fillId="41" borderId="80" xfId="4" applyFont="1" applyFill="1" applyBorder="1" applyAlignment="1">
      <alignment horizontal="center" vertical="center" wrapText="1"/>
    </xf>
    <xf numFmtId="0" fontId="117" fillId="39" borderId="216" xfId="4" applyFont="1" applyFill="1" applyBorder="1" applyAlignment="1">
      <alignment horizontal="center"/>
    </xf>
    <xf numFmtId="0" fontId="117" fillId="39" borderId="217" xfId="4" applyFont="1" applyFill="1" applyBorder="1" applyAlignment="1">
      <alignment horizontal="center"/>
    </xf>
    <xf numFmtId="0" fontId="117" fillId="39" borderId="218" xfId="4" applyFont="1" applyFill="1" applyBorder="1" applyAlignment="1">
      <alignment horizontal="center"/>
    </xf>
    <xf numFmtId="0" fontId="117" fillId="39" borderId="219" xfId="4" applyFont="1" applyFill="1" applyBorder="1" applyAlignment="1">
      <alignment horizontal="center" vertical="center" wrapText="1"/>
    </xf>
    <xf numFmtId="0" fontId="38" fillId="0" borderId="220" xfId="4" applyBorder="1" applyAlignment="1">
      <alignment wrapText="1"/>
    </xf>
    <xf numFmtId="0" fontId="38" fillId="0" borderId="221" xfId="4" applyBorder="1" applyAlignment="1">
      <alignment wrapText="1"/>
    </xf>
    <xf numFmtId="0" fontId="115" fillId="0" borderId="3" xfId="4" applyFont="1" applyBorder="1" applyAlignment="1">
      <alignment horizontal="center" vertical="center" wrapText="1"/>
    </xf>
    <xf numFmtId="0" fontId="38" fillId="0" borderId="6" xfId="4" applyBorder="1" applyAlignment="1">
      <alignment wrapText="1"/>
    </xf>
    <xf numFmtId="0" fontId="38" fillId="0" borderId="5" xfId="4" applyBorder="1" applyAlignment="1">
      <alignment wrapText="1"/>
    </xf>
    <xf numFmtId="0" fontId="120" fillId="0" borderId="76" xfId="4" applyFont="1" applyBorder="1" applyAlignment="1">
      <alignment horizontal="center" vertical="center" wrapText="1"/>
    </xf>
    <xf numFmtId="0" fontId="121" fillId="0" borderId="80" xfId="4" applyFont="1" applyBorder="1" applyAlignment="1">
      <alignment horizontal="center" vertical="center" wrapText="1"/>
    </xf>
    <xf numFmtId="0" fontId="38" fillId="0" borderId="76" xfId="4" applyBorder="1" applyAlignment="1">
      <alignment horizontal="center" vertical="center"/>
    </xf>
    <xf numFmtId="0" fontId="38" fillId="0" borderId="84" xfId="4" applyBorder="1" applyAlignment="1">
      <alignment horizontal="center" vertical="center"/>
    </xf>
    <xf numFmtId="0" fontId="54" fillId="17" borderId="0" xfId="4" applyFont="1" applyFill="1" applyAlignment="1">
      <alignment horizontal="left"/>
    </xf>
    <xf numFmtId="0" fontId="65" fillId="13" borderId="0" xfId="4" applyFont="1" applyFill="1" applyAlignment="1">
      <alignment horizontal="left" wrapText="1"/>
    </xf>
    <xf numFmtId="0" fontId="38" fillId="0" borderId="80" xfId="4" applyBorder="1" applyAlignment="1">
      <alignment horizontal="center" vertical="center"/>
    </xf>
    <xf numFmtId="0" fontId="38" fillId="16" borderId="77" xfId="4" applyFill="1" applyBorder="1" applyAlignment="1">
      <alignment horizontal="left"/>
    </xf>
    <xf numFmtId="0" fontId="38" fillId="16" borderId="78" xfId="4" applyFill="1" applyBorder="1" applyAlignment="1">
      <alignment horizontal="left"/>
    </xf>
    <xf numFmtId="0" fontId="38" fillId="16" borderId="79" xfId="4" applyFill="1" applyBorder="1" applyAlignment="1">
      <alignment horizontal="left"/>
    </xf>
    <xf numFmtId="0" fontId="38" fillId="16" borderId="81" xfId="4" applyFill="1" applyBorder="1" applyAlignment="1">
      <alignment horizontal="left"/>
    </xf>
    <xf numFmtId="0" fontId="38" fillId="16" borderId="14" xfId="4" applyFill="1" applyBorder="1" applyAlignment="1">
      <alignment horizontal="left"/>
    </xf>
    <xf numFmtId="0" fontId="38" fillId="16" borderId="82" xfId="4" applyFill="1" applyBorder="1" applyAlignment="1">
      <alignment horizontal="left"/>
    </xf>
    <xf numFmtId="0" fontId="38" fillId="16" borderId="90" xfId="4" applyFill="1" applyBorder="1" applyAlignment="1">
      <alignment horizontal="left"/>
    </xf>
    <xf numFmtId="0" fontId="38" fillId="16" borderId="91" xfId="4" applyFill="1" applyBorder="1" applyAlignment="1">
      <alignment horizontal="left"/>
    </xf>
    <xf numFmtId="0" fontId="38" fillId="16" borderId="92" xfId="4" applyFill="1" applyBorder="1" applyAlignment="1">
      <alignment horizontal="center"/>
    </xf>
    <xf numFmtId="0" fontId="38" fillId="16" borderId="93" xfId="4" applyFill="1" applyBorder="1" applyAlignment="1">
      <alignment horizontal="center"/>
    </xf>
    <xf numFmtId="0" fontId="38" fillId="16" borderId="3" xfId="4" applyFill="1" applyBorder="1" applyAlignment="1">
      <alignment horizontal="left"/>
    </xf>
    <xf numFmtId="0" fontId="38" fillId="16" borderId="6" xfId="4" applyFill="1" applyBorder="1" applyAlignment="1">
      <alignment horizontal="left"/>
    </xf>
    <xf numFmtId="0" fontId="38" fillId="16" borderId="12" xfId="4" applyFill="1" applyBorder="1" applyAlignment="1">
      <alignment horizontal="left"/>
    </xf>
    <xf numFmtId="0" fontId="38" fillId="16" borderId="2" xfId="4" applyFill="1" applyBorder="1" applyAlignment="1">
      <alignment horizontal="left"/>
    </xf>
    <xf numFmtId="0" fontId="38" fillId="16" borderId="71" xfId="4" applyFill="1" applyBorder="1" applyAlignment="1">
      <alignment horizontal="left"/>
    </xf>
    <xf numFmtId="0" fontId="38" fillId="16" borderId="10" xfId="4" applyFill="1" applyBorder="1" applyAlignment="1">
      <alignment horizontal="left"/>
    </xf>
    <xf numFmtId="0" fontId="38" fillId="16" borderId="87" xfId="4" applyFill="1" applyBorder="1" applyAlignment="1">
      <alignment horizontal="center"/>
    </xf>
    <xf numFmtId="0" fontId="38" fillId="16" borderId="88" xfId="4" applyFill="1" applyBorder="1" applyAlignment="1">
      <alignment horizontal="center"/>
    </xf>
    <xf numFmtId="0" fontId="38" fillId="16" borderId="74" xfId="4" applyFill="1" applyBorder="1" applyAlignment="1">
      <alignment horizontal="left"/>
    </xf>
    <xf numFmtId="0" fontId="38" fillId="16" borderId="21" xfId="4" applyFill="1" applyBorder="1" applyAlignment="1">
      <alignment horizontal="left"/>
    </xf>
    <xf numFmtId="0" fontId="38" fillId="16" borderId="75" xfId="4" applyFill="1" applyBorder="1" applyAlignment="1">
      <alignment horizontal="center"/>
    </xf>
    <xf numFmtId="0" fontId="38" fillId="16" borderId="89" xfId="4" applyFill="1" applyBorder="1" applyAlignment="1">
      <alignment horizontal="center"/>
    </xf>
    <xf numFmtId="0" fontId="38" fillId="16" borderId="85" xfId="4" applyFill="1" applyBorder="1" applyAlignment="1">
      <alignment horizontal="left"/>
    </xf>
    <xf numFmtId="0" fontId="38" fillId="16" borderId="86" xfId="4" applyFill="1" applyBorder="1" applyAlignment="1">
      <alignment horizontal="left"/>
    </xf>
    <xf numFmtId="0" fontId="58" fillId="19" borderId="0" xfId="4" applyFont="1" applyFill="1" applyAlignment="1">
      <alignment horizontal="center" wrapText="1"/>
    </xf>
    <xf numFmtId="0" fontId="38" fillId="16" borderId="94" xfId="4" applyFill="1" applyBorder="1" applyAlignment="1">
      <alignment horizontal="left"/>
    </xf>
    <xf numFmtId="0" fontId="38" fillId="16" borderId="95" xfId="4" applyFill="1" applyBorder="1" applyAlignment="1">
      <alignment horizontal="left"/>
    </xf>
    <xf numFmtId="0" fontId="38" fillId="16" borderId="97" xfId="4" applyFill="1" applyBorder="1" applyAlignment="1">
      <alignment horizontal="left"/>
    </xf>
    <xf numFmtId="0" fontId="38" fillId="16" borderId="98" xfId="4" applyFill="1" applyBorder="1" applyAlignment="1">
      <alignment horizontal="left"/>
    </xf>
    <xf numFmtId="0" fontId="38" fillId="16" borderId="88" xfId="4" applyFill="1" applyBorder="1" applyAlignment="1">
      <alignment horizontal="left"/>
    </xf>
  </cellXfs>
  <cellStyles count="10">
    <cellStyle name="Currency" xfId="9" builtinId="4"/>
    <cellStyle name="Euro" xfId="7"/>
    <cellStyle name="Hyperlink" xfId="2" builtinId="8"/>
    <cellStyle name="Milliers 2" xfId="5"/>
    <cellStyle name="Normal" xfId="0" builtinId="0"/>
    <cellStyle name="Normal 2" xfId="4"/>
    <cellStyle name="Normal 5" xfId="1"/>
    <cellStyle name="Percent" xfId="3" builtinId="5"/>
    <cellStyle name="Pourcentage 2" xfId="6"/>
    <cellStyle name="Style 1" xfId="8"/>
  </cellStyles>
  <dxfs count="325">
    <dxf>
      <font>
        <condense val="0"/>
        <extend val="0"/>
        <color indexed="17"/>
      </font>
    </dxf>
    <dxf>
      <font>
        <condense val="0"/>
        <extend val="0"/>
        <color indexed="33"/>
      </font>
    </dxf>
    <dxf>
      <font>
        <condense val="0"/>
        <extend val="0"/>
        <color indexed="10"/>
      </font>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52"/>
        </patternFill>
      </fill>
      <border>
        <left style="thin">
          <color indexed="64"/>
        </left>
        <right style="thin">
          <color indexed="64"/>
        </right>
        <top style="thin">
          <color indexed="64"/>
        </top>
        <bottom style="thin">
          <color indexed="64"/>
        </bottom>
      </border>
    </dxf>
    <dxf>
      <font>
        <b/>
        <i val="0"/>
        <condense val="0"/>
        <extend val="0"/>
      </font>
      <fill>
        <patternFill>
          <bgColor indexed="52"/>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53"/>
        </patternFill>
      </fill>
      <border>
        <left style="thin">
          <color indexed="64"/>
        </left>
        <right style="thin">
          <color indexed="64"/>
        </right>
        <top style="thin">
          <color indexed="64"/>
        </top>
        <bottom style="thin">
          <color indexed="64"/>
        </bottom>
      </border>
    </dxf>
    <dxf>
      <font>
        <b val="0"/>
        <i val="0"/>
        <condense val="0"/>
        <extend val="0"/>
      </font>
      <fill>
        <patternFill>
          <bgColor indexed="43"/>
        </patternFill>
      </fill>
      <border>
        <left style="thin">
          <color indexed="64"/>
        </left>
        <right style="thin">
          <color indexed="64"/>
        </right>
        <top style="thin">
          <color indexed="64"/>
        </top>
        <bottom style="thin">
          <color indexed="64"/>
        </bottom>
      </border>
    </dxf>
    <dxf>
      <font>
        <b val="0"/>
        <i val="0"/>
        <condense val="0"/>
        <extend val="0"/>
      </font>
      <fill>
        <patternFill>
          <bgColor indexed="43"/>
        </patternFill>
      </fill>
      <border>
        <left style="thin">
          <color indexed="64"/>
        </left>
        <right style="thin">
          <color indexed="64"/>
        </right>
        <top style="thin">
          <color indexed="64"/>
        </top>
        <bottom style="thin">
          <color indexed="64"/>
        </bottom>
      </border>
    </dxf>
    <dxf>
      <font>
        <condense val="0"/>
        <extend val="0"/>
        <color indexed="17"/>
      </font>
    </dxf>
    <dxf>
      <font>
        <condense val="0"/>
        <extend val="0"/>
        <color indexed="33"/>
      </font>
    </dxf>
    <dxf>
      <font>
        <condense val="0"/>
        <extend val="0"/>
        <color indexed="10"/>
      </font>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ont>
        <b/>
        <i val="0"/>
        <color rgb="FF00B050"/>
      </font>
      <fill>
        <patternFill>
          <bgColor theme="9" tint="0.59996337778862885"/>
        </patternFill>
      </fill>
    </dxf>
    <dxf>
      <font>
        <b/>
        <i val="0"/>
        <color rgb="FF00B050"/>
      </font>
      <fill>
        <patternFill>
          <bgColor theme="9" tint="0.59996337778862885"/>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ont>
        <b/>
        <i val="0"/>
        <color rgb="FFFF0000"/>
      </font>
      <fill>
        <patternFill>
          <bgColor rgb="FFFFCCCC"/>
        </patternFill>
      </fill>
    </dxf>
    <dxf>
      <font>
        <b/>
        <i val="0"/>
      </font>
      <fill>
        <patternFill>
          <bgColor theme="0" tint="-0.14996795556505021"/>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FF0000"/>
      </font>
    </dxf>
    <dxf>
      <font>
        <b/>
        <i val="0"/>
        <color rgb="FF00B050"/>
      </font>
      <fill>
        <patternFill patternType="solid">
          <bgColor theme="0" tint="-0.14996795556505021"/>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ont>
        <b/>
        <i val="0"/>
        <color rgb="FFFF0000"/>
      </font>
      <fill>
        <patternFill>
          <bgColor rgb="FFFFCCCC"/>
        </patternFill>
      </fill>
    </dxf>
    <dxf>
      <fill>
        <patternFill patternType="darkDown">
          <fgColor theme="0"/>
          <bgColor theme="8" tint="0.59996337778862885"/>
        </patternFill>
      </fill>
    </dxf>
    <dxf>
      <font>
        <b/>
        <i val="0"/>
        <color rgb="FF00B050"/>
      </font>
      <fill>
        <patternFill>
          <bgColor theme="0"/>
        </patternFill>
      </fill>
    </dxf>
    <dxf>
      <font>
        <color rgb="FFC00000"/>
      </font>
    </dxf>
    <dxf>
      <font>
        <b/>
        <i val="0"/>
        <color rgb="FF00B050"/>
      </font>
      <fill>
        <patternFill>
          <bgColor theme="0"/>
        </patternFill>
      </fill>
    </dxf>
    <dxf>
      <font>
        <color theme="0" tint="-0.14996795556505021"/>
      </font>
    </dxf>
    <dxf>
      <font>
        <b/>
        <i val="0"/>
        <color rgb="FF00B050"/>
      </font>
    </dxf>
    <dxf>
      <font>
        <b/>
        <i val="0"/>
        <color rgb="FF00B050"/>
      </font>
      <fill>
        <patternFill>
          <bgColor theme="0"/>
        </patternFill>
      </fill>
    </dxf>
    <dxf>
      <font>
        <color rgb="FFC00000"/>
      </font>
    </dxf>
    <dxf>
      <font>
        <b/>
        <i val="0"/>
        <color rgb="FF00B050"/>
      </font>
    </dxf>
    <dxf>
      <font>
        <b/>
        <i val="0"/>
        <color rgb="FF00B050"/>
      </font>
      <fill>
        <patternFill>
          <bgColor theme="9" tint="0.59996337778862885"/>
        </patternFill>
      </fill>
    </dxf>
    <dxf>
      <font>
        <b/>
        <i val="0"/>
        <color rgb="FFFF0000"/>
      </font>
      <fill>
        <patternFill>
          <bgColor rgb="FFFFCCCC"/>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dxf>
    <dxf>
      <fill>
        <patternFill patternType="darkDown">
          <fgColor theme="0"/>
          <bgColor theme="8" tint="0.59996337778862885"/>
        </patternFill>
      </fill>
      <border>
        <left/>
        <right/>
        <top/>
        <bottom/>
        <vertical/>
        <horizontal/>
      </border>
    </dxf>
    <dxf>
      <font>
        <b/>
        <i val="0"/>
        <color rgb="FF00B050"/>
      </font>
      <fill>
        <patternFill>
          <bgColor theme="9" tint="0.59996337778862885"/>
        </patternFill>
      </fill>
    </dxf>
    <dxf>
      <font>
        <b/>
        <i val="0"/>
        <color rgb="FF00B050"/>
      </font>
      <fill>
        <patternFill>
          <bgColor theme="9" tint="0.59996337778862885"/>
        </patternFill>
      </fill>
    </dxf>
    <dxf>
      <font>
        <b/>
        <i val="0"/>
        <color rgb="FFFF0000"/>
      </font>
      <fill>
        <patternFill>
          <bgColor rgb="FFFFCCCC"/>
        </patternFill>
      </fill>
    </dxf>
    <dxf>
      <font>
        <b/>
        <i val="0"/>
        <color rgb="FF00B050"/>
      </font>
      <fill>
        <patternFill>
          <bgColor theme="9" tint="0.59996337778862885"/>
        </patternFill>
      </fill>
    </dxf>
    <dxf>
      <font>
        <b/>
        <i val="0"/>
        <color rgb="FF00B050"/>
      </font>
      <fill>
        <patternFill>
          <bgColor theme="9" tint="0.59996337778862885"/>
        </patternFill>
      </fill>
    </dxf>
    <dxf>
      <font>
        <color rgb="FFFF0000"/>
      </font>
      <fill>
        <patternFill>
          <bgColor rgb="FFFF9999"/>
        </patternFill>
      </fill>
    </dxf>
    <dxf>
      <font>
        <b/>
        <i val="0"/>
        <color rgb="FFFF0000"/>
      </font>
      <fill>
        <patternFill>
          <bgColor rgb="FFFFCCCC"/>
        </patternFill>
      </fill>
      <border>
        <left/>
        <right/>
        <top/>
        <bottom/>
        <vertical/>
        <horizontal/>
      </border>
    </dxf>
    <dxf>
      <font>
        <b/>
        <i val="0"/>
        <color rgb="FF00B050"/>
      </font>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border>
    </dxf>
    <dxf>
      <font>
        <b/>
        <i val="0"/>
      </font>
      <fill>
        <patternFill>
          <bgColor theme="0" tint="-0.14996795556505021"/>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ill>
        <patternFill patternType="darkDown">
          <fgColor theme="0"/>
          <bgColor theme="8" tint="0.59996337778862885"/>
        </patternFill>
      </fill>
      <border>
        <left/>
        <right/>
        <top/>
        <bottom/>
      </border>
    </dxf>
    <dxf>
      <font>
        <b/>
        <i val="0"/>
        <color rgb="FFFF0000"/>
      </font>
      <fill>
        <patternFill>
          <bgColor rgb="FFFFCCCC"/>
        </patternFill>
      </fill>
    </dxf>
    <dxf>
      <fill>
        <patternFill patternType="darkDown">
          <fgColor theme="0"/>
          <bgColor theme="8"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color rgb="FFFF0000"/>
      </font>
      <fill>
        <patternFill>
          <bgColor rgb="FFFF9999"/>
        </patternFill>
      </fill>
    </dxf>
    <dxf>
      <fill>
        <patternFill patternType="darkDown">
          <fgColor theme="0"/>
          <bgColor theme="8" tint="0.59996337778862885"/>
        </patternFill>
      </fill>
    </dxf>
    <dxf>
      <fill>
        <patternFill>
          <bgColor theme="0"/>
        </patternFill>
      </fill>
    </dxf>
    <dxf>
      <font>
        <b/>
        <i val="0"/>
        <color rgb="FF00B050"/>
      </font>
      <fill>
        <patternFill>
          <bgColor theme="9" tint="0.59996337778862885"/>
        </patternFill>
      </fill>
    </dxf>
    <dxf>
      <font>
        <b val="0"/>
        <i val="0"/>
        <strike val="0"/>
        <condense val="0"/>
        <extend val="0"/>
        <outline val="0"/>
        <shadow val="0"/>
        <u val="none"/>
        <vertAlign val="baseline"/>
        <sz val="11"/>
        <color theme="3"/>
        <name val="Calibri"/>
        <scheme val="minor"/>
      </font>
      <alignment textRotation="0" wrapText="0" indent="0" justifyLastLine="0" shrinkToFit="0" readingOrder="0"/>
    </dxf>
    <dxf>
      <font>
        <b val="0"/>
        <i val="0"/>
        <strike val="0"/>
        <condense val="0"/>
        <extend val="0"/>
        <outline val="0"/>
        <shadow val="0"/>
        <u val="none"/>
        <vertAlign val="baseline"/>
        <sz val="11"/>
        <color theme="3"/>
        <name val="Calibri"/>
        <scheme val="minor"/>
      </font>
      <alignment textRotation="0" wrapText="0" indent="0" justifyLastLine="0" shrinkToFit="0" readingOrder="0"/>
    </dxf>
    <dxf>
      <font>
        <b val="0"/>
        <i val="0"/>
        <strike val="0"/>
        <condense val="0"/>
        <extend val="0"/>
        <outline val="0"/>
        <shadow val="0"/>
        <u val="none"/>
        <vertAlign val="baseline"/>
        <sz val="11"/>
        <color theme="3"/>
        <name val="Calibri"/>
        <scheme val="minor"/>
      </font>
      <alignment textRotation="0" wrapText="0" indent="0" justifyLastLine="0" shrinkToFit="0" readingOrder="0"/>
    </dxf>
    <dxf>
      <font>
        <b val="0"/>
        <i val="0"/>
        <strike val="0"/>
        <condense val="0"/>
        <extend val="0"/>
        <outline val="0"/>
        <shadow val="0"/>
        <u val="none"/>
        <vertAlign val="baseline"/>
        <sz val="11"/>
        <color theme="3"/>
        <name val="Calibri"/>
        <scheme val="minor"/>
      </font>
      <fill>
        <patternFill patternType="none">
          <fgColor indexed="64"/>
          <bgColor indexed="65"/>
        </patternFill>
      </fill>
      <alignment horizontal="left" vertical="top"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1"/>
        <color theme="3"/>
        <name val="Calibri"/>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3"/>
        <name val="Calibri"/>
        <scheme val="minor"/>
      </font>
      <fill>
        <patternFill patternType="none">
          <fgColor indexed="64"/>
          <bgColor indexed="65"/>
        </patternFill>
      </fill>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b val="0"/>
        <i val="0"/>
        <strike val="0"/>
        <condense val="0"/>
        <extend val="0"/>
        <outline val="0"/>
        <shadow val="0"/>
        <u val="none"/>
        <vertAlign val="baseline"/>
        <sz val="11"/>
        <color theme="3"/>
        <name val="Calibri"/>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theme="3"/>
        <name val="Calibri"/>
        <scheme val="minor"/>
      </font>
      <fill>
        <patternFill patternType="none">
          <fgColor indexed="64"/>
          <bgColor indexed="65"/>
        </patternFill>
      </fill>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textRotation="0" wrapText="0" indent="0" justifyLastLine="0" shrinkToFit="0" readingOrder="0"/>
    </dxf>
    <dxf>
      <font>
        <b/>
        <i val="0"/>
        <strike val="0"/>
        <condense val="0"/>
        <extend val="0"/>
        <outline val="0"/>
        <shadow val="0"/>
        <u val="none"/>
        <vertAlign val="baseline"/>
        <sz val="11"/>
        <color theme="3"/>
        <name val="Calibri"/>
        <scheme val="minor"/>
      </font>
      <alignment textRotation="0" wrapText="0" indent="0" justifyLastLine="0" shrinkToFit="0" readingOrder="0"/>
    </dxf>
    <dxf>
      <font>
        <strike val="0"/>
        <outline val="0"/>
        <shadow val="0"/>
        <u val="none"/>
        <vertAlign val="baseline"/>
        <sz val="12"/>
        <color theme="3"/>
        <name val="Calibri"/>
        <scheme val="minor"/>
      </font>
      <alignment horizontal="left" vertical="top" textRotation="0" wrapText="0" indent="0" justifyLastLine="0" shrinkToFit="0" readingOrder="0"/>
    </dxf>
    <dxf>
      <font>
        <strike val="0"/>
        <outline val="0"/>
        <shadow val="0"/>
        <u val="none"/>
        <vertAlign val="baseline"/>
        <sz val="12"/>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2"/>
        <color theme="3"/>
        <name val="Calibri"/>
        <scheme val="minor"/>
      </font>
      <alignment textRotation="0" wrapText="0" indent="0" justifyLastLine="0" shrinkToFit="0" readingOrder="0"/>
    </dxf>
    <dxf>
      <font>
        <strike val="0"/>
        <outline val="0"/>
        <shadow val="0"/>
        <u val="none"/>
        <vertAlign val="baseline"/>
        <sz val="12"/>
        <color theme="3"/>
        <name val="Calibri"/>
        <scheme val="minor"/>
      </font>
      <alignment textRotation="0" wrapText="0" indent="0" justifyLastLine="0" shrinkToFit="0" readingOrder="0"/>
    </dxf>
    <dxf>
      <font>
        <strike val="0"/>
        <outline val="0"/>
        <shadow val="0"/>
        <u val="none"/>
        <vertAlign val="baseline"/>
        <sz val="12"/>
        <color theme="3"/>
        <name val="Calibri"/>
        <scheme val="minor"/>
      </font>
      <alignment textRotation="0" wrapText="0" indent="0" justifyLastLine="0" shrinkToFit="0" readingOrder="0"/>
    </dxf>
    <dxf>
      <font>
        <b/>
        <i val="0"/>
        <strike val="0"/>
        <condense val="0"/>
        <extend val="0"/>
        <outline val="0"/>
        <shadow val="0"/>
        <u val="none"/>
        <vertAlign val="baseline"/>
        <sz val="12"/>
        <color theme="3"/>
        <name val="Calibri"/>
        <scheme val="minor"/>
      </font>
      <alignment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strike val="0"/>
        <outline val="0"/>
        <shadow val="0"/>
        <u val="none"/>
        <vertAlign val="baseline"/>
        <sz val="11"/>
        <color theme="3"/>
        <name val="Calibri"/>
        <scheme val="minor"/>
      </font>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alignment textRotation="0" wrapText="0" indent="0" justifyLastLine="0" shrinkToFit="0" readingOrder="0"/>
    </dxf>
    <dxf>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patternType="none">
          <bgColor auto="1"/>
        </patternFill>
      </fill>
      <border>
        <left/>
        <right/>
        <top/>
        <vertical/>
        <horizontal/>
      </border>
    </dxf>
    <dxf>
      <font>
        <color theme="0"/>
      </font>
      <fill>
        <patternFill>
          <bgColor theme="0"/>
        </patternFill>
      </fill>
    </dxf>
    <dxf>
      <font>
        <color rgb="FF00B050"/>
      </font>
    </dxf>
    <dxf>
      <font>
        <color rgb="FFFF0000"/>
      </font>
    </dxf>
    <dxf>
      <font>
        <color theme="0"/>
      </font>
      <fill>
        <patternFill patternType="darkDown">
          <fgColor theme="0"/>
          <bgColor theme="8" tint="0.59996337778862885"/>
        </patternFill>
      </fill>
    </dxf>
    <dxf>
      <font>
        <b/>
        <i val="0"/>
        <color rgb="FF00B050"/>
      </font>
      <fill>
        <patternFill>
          <bgColor theme="9" tint="0.59996337778862885"/>
        </patternFill>
      </fill>
    </dxf>
    <dxf>
      <font>
        <b/>
        <i val="0"/>
        <color theme="7" tint="-0.24994659260841701"/>
      </font>
      <fill>
        <patternFill>
          <bgColor theme="0" tint="-4.9989318521683403E-2"/>
        </patternFill>
      </fill>
    </dxf>
    <dxf>
      <fill>
        <patternFill patternType="darkDown">
          <fgColor theme="0"/>
          <bgColor theme="8" tint="0.59996337778862885"/>
        </patternFill>
      </fill>
    </dxf>
    <dxf>
      <fill>
        <patternFill patternType="darkDown">
          <fgColor theme="0"/>
          <bgColor theme="8" tint="0.59996337778862885"/>
        </patternFill>
      </fill>
    </dxf>
    <dxf>
      <fill>
        <patternFill patternType="darkDown">
          <fgColor theme="0"/>
          <bgColor theme="8" tint="0.59996337778862885"/>
        </patternFill>
      </fill>
    </dxf>
    <dxf>
      <fill>
        <patternFill patternType="darkDown">
          <fgColor theme="0"/>
          <bgColor theme="8" tint="0.59996337778862885"/>
        </patternFill>
      </fill>
    </dxf>
    <dxf>
      <font>
        <color theme="3"/>
      </font>
    </dxf>
    <dxf>
      <fill>
        <patternFill patternType="darkDown">
          <fgColor theme="0"/>
          <bgColor theme="8" tint="0.59996337778862885"/>
        </patternFill>
      </fill>
    </dxf>
    <dxf>
      <fill>
        <patternFill>
          <bgColor theme="0" tint="-4.9989318521683403E-2"/>
        </patternFill>
      </fill>
      <border>
        <right/>
        <top/>
        <bottom/>
      </border>
    </dxf>
    <dxf>
      <font>
        <color theme="0"/>
      </font>
      <fill>
        <patternFill>
          <bgColor theme="0"/>
        </patternFill>
      </fill>
      <border>
        <left/>
        <right/>
        <top/>
        <bottom/>
      </border>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b/>
        <i val="0"/>
        <color rgb="FF00B050"/>
      </font>
      <fill>
        <patternFill>
          <bgColor theme="9" tint="0.79998168889431442"/>
        </patternFill>
      </fill>
    </dxf>
    <dxf>
      <font>
        <b/>
        <i val="0"/>
        <color rgb="FF00B050"/>
      </font>
      <fill>
        <patternFill>
          <bgColor theme="9" tint="0.59996337778862885"/>
        </patternFill>
      </fill>
    </dxf>
    <dxf>
      <font>
        <color theme="0"/>
      </font>
      <fill>
        <patternFill patternType="darkDown">
          <fgColor theme="0"/>
          <bgColor theme="8" tint="0.59996337778862885"/>
        </patternFill>
      </fill>
    </dxf>
    <dxf>
      <font>
        <color theme="0"/>
      </font>
      <fill>
        <patternFill patternType="darkDown">
          <fgColor theme="0"/>
          <bgColor theme="8" tint="0.59996337778862885"/>
        </patternFill>
      </fill>
    </dxf>
    <dxf>
      <font>
        <b/>
        <i val="0"/>
        <color rgb="FFFF0000"/>
      </font>
      <fill>
        <patternFill>
          <bgColor rgb="FFFFCCCC"/>
        </patternFill>
      </fill>
    </dxf>
    <dxf>
      <fill>
        <patternFill patternType="darkDown">
          <fgColor theme="0"/>
          <bgColor theme="8" tint="0.59996337778862885"/>
        </patternFill>
      </fill>
    </dxf>
    <dxf>
      <font>
        <color theme="0"/>
      </font>
      <fill>
        <patternFill patternType="darkDown">
          <fgColor theme="0"/>
          <bgColor theme="8" tint="0.59996337778862885"/>
        </patternFill>
      </fill>
    </dxf>
    <dxf>
      <font>
        <color theme="0"/>
      </font>
      <fill>
        <patternFill patternType="darkDown">
          <fgColor theme="0"/>
          <bgColor theme="8" tint="0.59996337778862885"/>
        </patternFill>
      </fill>
    </dxf>
    <dxf>
      <font>
        <color theme="0"/>
      </font>
      <fill>
        <patternFill>
          <bgColor theme="0"/>
        </patternFill>
      </fill>
      <border>
        <left style="thin">
          <color theme="8" tint="0.79998168889431442"/>
        </left>
        <right style="thin">
          <color theme="8" tint="0.79998168889431442"/>
        </right>
        <top style="thin">
          <color theme="8" tint="0.79998168889431442"/>
        </top>
        <bottom style="thin">
          <color theme="8" tint="0.79998168889431442"/>
        </bottom>
        <vertical/>
        <horizontal/>
      </border>
    </dxf>
    <dxf>
      <font>
        <color theme="0"/>
      </font>
      <fill>
        <patternFill>
          <fgColor theme="0"/>
          <bgColor theme="0"/>
        </patternFill>
      </fill>
      <border>
        <left/>
        <right/>
        <top/>
        <bottom/>
      </border>
    </dxf>
    <dxf>
      <font>
        <b/>
        <i val="0"/>
        <color rgb="FF00B050"/>
      </font>
      <fill>
        <patternFill>
          <bgColor theme="9" tint="0.59996337778862885"/>
        </patternFill>
      </fill>
    </dxf>
    <dxf>
      <font>
        <b/>
        <i val="0"/>
        <color rgb="FF00B050"/>
      </font>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fgColor theme="0"/>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fgColor theme="0"/>
          <bgColor theme="0"/>
        </patternFill>
      </fill>
      <border>
        <left/>
        <right/>
        <top/>
        <bottom/>
      </border>
    </dxf>
    <dxf>
      <font>
        <color theme="0"/>
      </font>
      <fill>
        <patternFill>
          <bgColor theme="0"/>
        </patternFill>
      </fill>
      <border>
        <left style="thin">
          <color theme="8" tint="0.79998168889431442"/>
        </left>
        <right style="thin">
          <color theme="8" tint="0.79998168889431442"/>
        </right>
        <top style="thin">
          <color theme="8" tint="0.79998168889431442"/>
        </top>
        <bottom style="thin">
          <color theme="8" tint="0.79998168889431442"/>
        </bottom>
        <vertical/>
        <horizontal/>
      </border>
    </dxf>
    <dxf>
      <font>
        <b/>
        <i val="0"/>
        <color rgb="FF00B050"/>
      </font>
      <fill>
        <patternFill>
          <bgColor theme="9" tint="0.59996337778862885"/>
        </patternFill>
      </fill>
    </dxf>
    <dxf>
      <font>
        <b/>
        <i val="0"/>
        <color rgb="FF00B050"/>
      </font>
      <fill>
        <patternFill>
          <bgColor theme="9" tint="0.59996337778862885"/>
        </patternFill>
      </fill>
    </dxf>
    <dxf>
      <font>
        <b/>
        <i val="0"/>
        <color rgb="FFFF0000"/>
      </font>
      <fill>
        <patternFill>
          <bgColor rgb="FFFFCCCC"/>
        </patternFill>
      </fill>
    </dxf>
    <dxf>
      <font>
        <color theme="0"/>
      </font>
      <fill>
        <patternFill>
          <bgColor theme="0"/>
        </patternFill>
      </fill>
      <border>
        <left/>
        <right/>
        <top/>
        <bottom/>
      </border>
    </dxf>
    <dxf>
      <font>
        <color theme="0"/>
      </font>
      <fill>
        <patternFill>
          <bgColor theme="0"/>
        </patternFill>
      </fill>
      <border>
        <vertical/>
        <horizontal/>
      </border>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00B050"/>
      </font>
      <fill>
        <patternFill>
          <bgColor theme="9" tint="0.59996337778862885"/>
        </patternFill>
      </fill>
    </dxf>
    <dxf>
      <font>
        <b/>
        <i val="0"/>
        <color rgb="FFFF0000"/>
      </font>
      <fill>
        <patternFill>
          <bgColor rgb="FFFFCCCC"/>
        </patternFill>
      </fill>
    </dxf>
    <dxf>
      <font>
        <b/>
        <i val="0"/>
        <color rgb="FF00B050"/>
      </font>
      <fill>
        <patternFill>
          <bgColor theme="9" tint="0.59996337778862885"/>
        </patternFill>
      </fill>
    </dxf>
    <dxf>
      <fill>
        <patternFill>
          <bgColor theme="0"/>
        </patternFill>
      </fill>
    </dxf>
    <dxf>
      <font>
        <b/>
        <i val="0"/>
        <color rgb="FF00B050"/>
      </font>
      <fill>
        <patternFill>
          <bgColor theme="9" tint="0.59996337778862885"/>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ont>
        <b/>
        <i val="0"/>
      </font>
      <fill>
        <patternFill>
          <bgColor theme="0" tint="-0.14996795556505021"/>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ont>
        <b/>
        <i val="0"/>
        <color rgb="FF00B050"/>
      </font>
      <fill>
        <patternFill>
          <bgColor theme="9" tint="0.59996337778862885"/>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border>
    </dxf>
    <dxf>
      <font>
        <b/>
        <i val="0"/>
        <color rgb="FFFF0000"/>
      </font>
      <fill>
        <patternFill>
          <bgColor rgb="FFFFCCCC"/>
        </patternFill>
      </fill>
    </dxf>
    <dxf>
      <font>
        <b/>
        <i val="0"/>
        <color rgb="FF00B050"/>
      </font>
      <fill>
        <patternFill>
          <bgColor theme="9" tint="0.59996337778862885"/>
        </patternFill>
      </fill>
    </dxf>
    <dxf>
      <font>
        <b/>
        <i val="0"/>
        <color rgb="FFFF0000"/>
      </font>
      <fill>
        <patternFill>
          <bgColor rgb="FFFFCCCC"/>
        </patternFill>
      </fill>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dxf>
    <dxf>
      <fill>
        <patternFill patternType="darkDown">
          <fgColor theme="0"/>
          <bgColor theme="8" tint="0.59996337778862885"/>
        </patternFill>
      </fill>
      <border>
        <left/>
        <right/>
        <top/>
        <bottom/>
        <vertical/>
        <horizontal/>
      </border>
    </dxf>
    <dxf>
      <font>
        <b/>
        <i val="0"/>
        <color rgb="FF00B050"/>
      </font>
      <fill>
        <patternFill>
          <bgColor theme="9" tint="0.59996337778862885"/>
        </patternFill>
      </fill>
    </dxf>
    <dxf>
      <font>
        <b/>
        <i val="0"/>
        <color rgb="FF00B050"/>
      </font>
      <fill>
        <patternFill>
          <bgColor theme="9" tint="0.59996337778862885"/>
        </patternFill>
      </fill>
    </dxf>
    <dxf>
      <font>
        <b/>
        <i val="0"/>
        <color rgb="FFFF0000"/>
      </font>
      <fill>
        <patternFill>
          <bgColor rgb="FFFFCCCC"/>
        </patternFill>
      </fill>
    </dxf>
    <dxf>
      <font>
        <b/>
        <i val="0"/>
        <color rgb="FF00B050"/>
      </font>
      <fill>
        <patternFill>
          <bgColor theme="9" tint="0.59996337778862885"/>
        </patternFill>
      </fill>
    </dxf>
    <dxf>
      <font>
        <b/>
        <i val="0"/>
        <color rgb="FF00B050"/>
      </font>
      <fill>
        <patternFill>
          <bgColor theme="9" tint="0.59996337778862885"/>
        </patternFill>
      </fill>
    </dxf>
    <dxf>
      <font>
        <color rgb="FFFF0000"/>
      </font>
      <fill>
        <patternFill>
          <bgColor rgb="FFFF9999"/>
        </patternFill>
      </fill>
    </dxf>
    <dxf>
      <fill>
        <patternFill patternType="darkDown">
          <fgColor theme="0"/>
          <bgColor theme="8" tint="0.59996337778862885"/>
        </patternFill>
      </fill>
    </dxf>
    <dxf>
      <fill>
        <patternFill>
          <bgColor theme="0"/>
        </patternFill>
      </fill>
    </dxf>
    <dxf>
      <font>
        <b/>
        <i val="0"/>
        <color rgb="FF00B050"/>
      </font>
      <fill>
        <patternFill>
          <bgColor theme="9" tint="0.59996337778862885"/>
        </patternFill>
      </fill>
    </dxf>
  </dxfs>
  <tableStyles count="0" defaultTableStyle="TableStyleMedium2" defaultPivotStyle="PivotStyleLight16"/>
  <colors>
    <mruColors>
      <color rgb="FFFFF7E1"/>
      <color rgb="FFFFCCCC"/>
      <color rgb="FFFF0000"/>
      <color rgb="FF009242"/>
      <color rgb="FFA2DC44"/>
      <color rgb="FF00D05E"/>
      <color rgb="FFFFEEDD"/>
      <color rgb="FFD3DEF1"/>
      <color rgb="FFE5EBF7"/>
      <color rgb="FFC9D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checked="Checked" fmlaLink="$H$30" lockText="1" noThreeD="1"/>
</file>

<file path=xl/ctrlProps/ctrlProp10.xml><?xml version="1.0" encoding="utf-8"?>
<formControlPr xmlns="http://schemas.microsoft.com/office/spreadsheetml/2009/9/main" objectType="CheckBox" fmlaLink="$H$34" lockText="1" noThreeD="1"/>
</file>

<file path=xl/ctrlProps/ctrlProp11.xml><?xml version="1.0" encoding="utf-8"?>
<formControlPr xmlns="http://schemas.microsoft.com/office/spreadsheetml/2009/9/main" objectType="CheckBox" fmlaLink="$H$35" lockText="1" noThreeD="1"/>
</file>

<file path=xl/ctrlProps/ctrlProp12.xml><?xml version="1.0" encoding="utf-8"?>
<formControlPr xmlns="http://schemas.microsoft.com/office/spreadsheetml/2009/9/main" objectType="CheckBox" checked="Checked" fmlaLink="$H$31" lockText="1" noThreeD="1"/>
</file>

<file path=xl/ctrlProps/ctrlProp13.xml><?xml version="1.0" encoding="utf-8"?>
<formControlPr xmlns="http://schemas.microsoft.com/office/spreadsheetml/2009/9/main" objectType="CheckBox" fmlaLink="$H$30" lockText="1" noThreeD="1"/>
</file>

<file path=xl/ctrlProps/ctrlProp14.xml><?xml version="1.0" encoding="utf-8"?>
<formControlPr xmlns="http://schemas.microsoft.com/office/spreadsheetml/2009/9/main" objectType="CheckBox" fmlaLink="H32" lockText="1" noThreeD="1"/>
</file>

<file path=xl/ctrlProps/ctrlProp15.xml><?xml version="1.0" encoding="utf-8"?>
<formControlPr xmlns="http://schemas.microsoft.com/office/spreadsheetml/2009/9/main" objectType="CheckBox" fmlaLink="$H$37" lockText="1" noThreeD="1"/>
</file>

<file path=xl/ctrlProps/ctrlProp16.xml><?xml version="1.0" encoding="utf-8"?>
<formControlPr xmlns="http://schemas.microsoft.com/office/spreadsheetml/2009/9/main" objectType="CheckBox" fmlaLink="$H$38" lockText="1" noThreeD="1"/>
</file>

<file path=xl/ctrlProps/ctrlProp17.xml><?xml version="1.0" encoding="utf-8"?>
<formControlPr xmlns="http://schemas.microsoft.com/office/spreadsheetml/2009/9/main" objectType="CheckBox" checked="Checked" fmlaLink="$H$39" lockText="1" noThreeD="1"/>
</file>

<file path=xl/ctrlProps/ctrlProp18.xml><?xml version="1.0" encoding="utf-8"?>
<formControlPr xmlns="http://schemas.microsoft.com/office/spreadsheetml/2009/9/main" objectType="CheckBox" fmlaLink="$H$41" lockText="1" noThreeD="1"/>
</file>

<file path=xl/ctrlProps/ctrlProp19.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H$29" lockText="1" noThreeD="1"/>
</file>

<file path=xl/ctrlProps/ctrlProp20.xml><?xml version="1.0" encoding="utf-8"?>
<formControlPr xmlns="http://schemas.microsoft.com/office/spreadsheetml/2009/9/main" objectType="CheckBox" checked="Checked" fmlaLink="$H$34" lockText="1" noThreeD="1"/>
</file>

<file path=xl/ctrlProps/ctrlProp21.xml><?xml version="1.0" encoding="utf-8"?>
<formControlPr xmlns="http://schemas.microsoft.com/office/spreadsheetml/2009/9/main" objectType="CheckBox" checked="Checked" fmlaLink="$H$35" lockText="1" noThreeD="1"/>
</file>

<file path=xl/ctrlProps/ctrlProp22.xml><?xml version="1.0" encoding="utf-8"?>
<formControlPr xmlns="http://schemas.microsoft.com/office/spreadsheetml/2009/9/main" objectType="CheckBox" checked="Checked" fmlaLink="$H$36" lockText="1" noThreeD="1"/>
</file>

<file path=xl/ctrlProps/ctrlProp23.xml><?xml version="1.0" encoding="utf-8"?>
<formControlPr xmlns="http://schemas.microsoft.com/office/spreadsheetml/2009/9/main" objectType="CheckBox" fmlaLink="$H$40" lockText="1" noThreeD="1"/>
</file>

<file path=xl/ctrlProps/ctrlProp24.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fmlaLink="H31" lockText="1" noThreeD="1"/>
</file>

<file path=xl/ctrlProps/ctrlProp4.xml><?xml version="1.0" encoding="utf-8"?>
<formControlPr xmlns="http://schemas.microsoft.com/office/spreadsheetml/2009/9/main" objectType="CheckBox" fmlaLink="$H$36" lockText="1" noThreeD="1"/>
</file>

<file path=xl/ctrlProps/ctrlProp5.xml><?xml version="1.0" encoding="utf-8"?>
<formControlPr xmlns="http://schemas.microsoft.com/office/spreadsheetml/2009/9/main" objectType="CheckBox" fmlaLink="$H$37" lockText="1" noThreeD="1"/>
</file>

<file path=xl/ctrlProps/ctrlProp6.xml><?xml version="1.0" encoding="utf-8"?>
<formControlPr xmlns="http://schemas.microsoft.com/office/spreadsheetml/2009/9/main" objectType="CheckBox" fmlaLink="$H$38" lockText="1" noThreeD="1"/>
</file>

<file path=xl/ctrlProps/ctrlProp7.xml><?xml version="1.0" encoding="utf-8"?>
<formControlPr xmlns="http://schemas.microsoft.com/office/spreadsheetml/2009/9/main" objectType="CheckBox" fmlaLink="$H$39" lockText="1" noThreeD="1"/>
</file>

<file path=xl/ctrlProps/ctrlProp8.xml><?xml version="1.0" encoding="utf-8"?>
<formControlPr xmlns="http://schemas.microsoft.com/office/spreadsheetml/2009/9/main" objectType="CheckBox" checked="Checked" fmlaLink="$H$32" lockText="1" noThreeD="1"/>
</file>

<file path=xl/ctrlProps/ctrlProp9.xml><?xml version="1.0" encoding="utf-8"?>
<formControlPr xmlns="http://schemas.microsoft.com/office/spreadsheetml/2009/9/main" objectType="CheckBox" fmlaLink="$H$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xdr:row>
      <xdr:rowOff>28575</xdr:rowOff>
    </xdr:from>
    <xdr:to>
      <xdr:col>1</xdr:col>
      <xdr:colOff>885825</xdr:colOff>
      <xdr:row>3</xdr:row>
      <xdr:rowOff>390525</xdr:rowOff>
    </xdr:to>
    <xdr:pic>
      <xdr:nvPicPr>
        <xdr:cNvPr id="2" name="Image 1" descr="Signature_Mail">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276225"/>
          <a:ext cx="1295400" cy="8572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171450</xdr:colOff>
      <xdr:row>79</xdr:row>
      <xdr:rowOff>0</xdr:rowOff>
    </xdr:from>
    <xdr:to>
      <xdr:col>27</xdr:col>
      <xdr:colOff>504825</xdr:colOff>
      <xdr:row>104</xdr:row>
      <xdr:rowOff>114141</xdr:rowOff>
    </xdr:to>
    <xdr:pic>
      <xdr:nvPicPr>
        <xdr:cNvPr id="2" name="Image 1">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64" t="20972" r="31045" b="30685"/>
        <a:stretch/>
      </xdr:blipFill>
      <xdr:spPr bwMode="auto">
        <a:xfrm>
          <a:off x="12811125" y="4552950"/>
          <a:ext cx="4905375" cy="3207385"/>
        </a:xfrm>
        <a:prstGeom prst="rect">
          <a:avLst/>
        </a:prstGeom>
        <a:noFill/>
        <a:ln>
          <a:noFill/>
        </a:ln>
        <a:extLst>
          <a:ext uri="{53640926-AAD7-44D8-BBD7-CCE9431645EC}">
            <a14:shadowObscured xmlns:a14="http://schemas.microsoft.com/office/drawing/2010/main"/>
          </a:ext>
        </a:extLst>
      </xdr:spPr>
    </xdr:pic>
    <xdr:clientData/>
  </xdr:twoCellAnchor>
  <xdr:twoCellAnchor>
    <xdr:from>
      <xdr:col>20</xdr:col>
      <xdr:colOff>114300</xdr:colOff>
      <xdr:row>106</xdr:row>
      <xdr:rowOff>152399</xdr:rowOff>
    </xdr:from>
    <xdr:to>
      <xdr:col>28</xdr:col>
      <xdr:colOff>685799</xdr:colOff>
      <xdr:row>133</xdr:row>
      <xdr:rowOff>142875</xdr:rowOff>
    </xdr:to>
    <xdr:grpSp>
      <xdr:nvGrpSpPr>
        <xdr:cNvPr id="3" name="Zone de dessin 798">
          <a:extLst>
            <a:ext uri="{FF2B5EF4-FFF2-40B4-BE49-F238E27FC236}">
              <a16:creationId xmlns:a16="http://schemas.microsoft.com/office/drawing/2014/main" xmlns="" id="{00000000-0008-0000-0200-000003000000}"/>
            </a:ext>
          </a:extLst>
        </xdr:cNvPr>
        <xdr:cNvGrpSpPr/>
      </xdr:nvGrpSpPr>
      <xdr:grpSpPr>
        <a:xfrm>
          <a:off x="16830675" y="22059899"/>
          <a:ext cx="6667499" cy="2871789"/>
          <a:chOff x="0" y="0"/>
          <a:chExt cx="6479540" cy="2630170"/>
        </a:xfrm>
      </xdr:grpSpPr>
      <xdr:sp macro="" textlink="">
        <xdr:nvSpPr>
          <xdr:cNvPr id="4" name="Rectangle 3">
            <a:extLst>
              <a:ext uri="{FF2B5EF4-FFF2-40B4-BE49-F238E27FC236}">
                <a16:creationId xmlns:a16="http://schemas.microsoft.com/office/drawing/2014/main" xmlns="" id="{00000000-0008-0000-0200-000004000000}"/>
              </a:ext>
            </a:extLst>
          </xdr:cNvPr>
          <xdr:cNvSpPr/>
        </xdr:nvSpPr>
        <xdr:spPr>
          <a:xfrm>
            <a:off x="0" y="0"/>
            <a:ext cx="6479540" cy="2630170"/>
          </a:xfrm>
          <a:prstGeom prst="rect">
            <a:avLst/>
          </a:prstGeom>
          <a:noFill/>
          <a:ln>
            <a:noFill/>
          </a:ln>
        </xdr:spPr>
      </xdr:sp>
      <xdr:sp macro="" textlink="">
        <xdr:nvSpPr>
          <xdr:cNvPr id="5" name="AutoShape 800">
            <a:extLst>
              <a:ext uri="{FF2B5EF4-FFF2-40B4-BE49-F238E27FC236}">
                <a16:creationId xmlns:a16="http://schemas.microsoft.com/office/drawing/2014/main" xmlns="" id="{00000000-0008-0000-0200-000005000000}"/>
              </a:ext>
            </a:extLst>
          </xdr:cNvPr>
          <xdr:cNvSpPr>
            <a:spLocks noChangeAspect="1" noChangeArrowheads="1"/>
          </xdr:cNvSpPr>
        </xdr:nvSpPr>
        <xdr:spPr bwMode="auto">
          <a:xfrm>
            <a:off x="0" y="3009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6" name="Rectangle 5">
            <a:extLst>
              <a:ext uri="{FF2B5EF4-FFF2-40B4-BE49-F238E27FC236}">
                <a16:creationId xmlns:a16="http://schemas.microsoft.com/office/drawing/2014/main" xmlns="" id="{00000000-0008-0000-0200-000006000000}"/>
              </a:ext>
            </a:extLst>
          </xdr:cNvPr>
          <xdr:cNvSpPr>
            <a:spLocks noChangeArrowheads="1"/>
          </xdr:cNvSpPr>
        </xdr:nvSpPr>
        <xdr:spPr bwMode="auto">
          <a:xfrm>
            <a:off x="2594610" y="2933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solidFill>
                <a:sysClr val="windowText" lastClr="000000"/>
              </a:solidFill>
            </a:endParaRPr>
          </a:p>
        </xdr:txBody>
      </xdr:sp>
      <xdr:sp macro="" textlink="">
        <xdr:nvSpPr>
          <xdr:cNvPr id="7" name="Rectangle 6">
            <a:extLst>
              <a:ext uri="{FF2B5EF4-FFF2-40B4-BE49-F238E27FC236}">
                <a16:creationId xmlns:a16="http://schemas.microsoft.com/office/drawing/2014/main" xmlns="" id="{00000000-0008-0000-0200-000007000000}"/>
              </a:ext>
            </a:extLst>
          </xdr:cNvPr>
          <xdr:cNvSpPr>
            <a:spLocks noChangeArrowheads="1"/>
          </xdr:cNvSpPr>
        </xdr:nvSpPr>
        <xdr:spPr bwMode="auto">
          <a:xfrm>
            <a:off x="2594610" y="2933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 name="Rectangle 7">
            <a:extLst>
              <a:ext uri="{FF2B5EF4-FFF2-40B4-BE49-F238E27FC236}">
                <a16:creationId xmlns:a16="http://schemas.microsoft.com/office/drawing/2014/main" xmlns="" id="{00000000-0008-0000-0200-000008000000}"/>
              </a:ext>
            </a:extLst>
          </xdr:cNvPr>
          <xdr:cNvSpPr>
            <a:spLocks noChangeArrowheads="1"/>
          </xdr:cNvSpPr>
        </xdr:nvSpPr>
        <xdr:spPr bwMode="auto">
          <a:xfrm>
            <a:off x="2936240" y="659130"/>
            <a:ext cx="60706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9" name="Line 804">
            <a:extLst>
              <a:ext uri="{FF2B5EF4-FFF2-40B4-BE49-F238E27FC236}">
                <a16:creationId xmlns:a16="http://schemas.microsoft.com/office/drawing/2014/main" xmlns="" id="{00000000-0008-0000-0200-000009000000}"/>
              </a:ext>
            </a:extLst>
          </xdr:cNvPr>
          <xdr:cNvCxnSpPr/>
        </xdr:nvCxnSpPr>
        <xdr:spPr bwMode="auto">
          <a:xfrm flipH="1">
            <a:off x="3908425" y="13665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 name="Freeform 805">
            <a:extLst>
              <a:ext uri="{FF2B5EF4-FFF2-40B4-BE49-F238E27FC236}">
                <a16:creationId xmlns:a16="http://schemas.microsoft.com/office/drawing/2014/main" xmlns="" id="{00000000-0008-0000-0200-00000A000000}"/>
              </a:ext>
            </a:extLst>
          </xdr:cNvPr>
          <xdr:cNvSpPr>
            <a:spLocks/>
          </xdr:cNvSpPr>
        </xdr:nvSpPr>
        <xdr:spPr bwMode="auto">
          <a:xfrm>
            <a:off x="3828415" y="13220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cxnSp macro="">
        <xdr:nvCxnSpPr>
          <xdr:cNvPr id="11" name="Line 806">
            <a:extLst>
              <a:ext uri="{FF2B5EF4-FFF2-40B4-BE49-F238E27FC236}">
                <a16:creationId xmlns:a16="http://schemas.microsoft.com/office/drawing/2014/main" xmlns="" id="{00000000-0008-0000-0200-00000B000000}"/>
              </a:ext>
            </a:extLst>
          </xdr:cNvPr>
          <xdr:cNvCxnSpPr/>
        </xdr:nvCxnSpPr>
        <xdr:spPr bwMode="auto">
          <a:xfrm>
            <a:off x="3828415" y="6000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2" name="Line 807">
            <a:extLst>
              <a:ext uri="{FF2B5EF4-FFF2-40B4-BE49-F238E27FC236}">
                <a16:creationId xmlns:a16="http://schemas.microsoft.com/office/drawing/2014/main" xmlns="" id="{00000000-0008-0000-0200-00000C000000}"/>
              </a:ext>
            </a:extLst>
          </xdr:cNvPr>
          <xdr:cNvCxnSpPr/>
        </xdr:nvCxnSpPr>
        <xdr:spPr bwMode="auto">
          <a:xfrm flipH="1">
            <a:off x="1094105" y="6000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3" name="Rectangle 12">
            <a:extLst>
              <a:ext uri="{FF2B5EF4-FFF2-40B4-BE49-F238E27FC236}">
                <a16:creationId xmlns:a16="http://schemas.microsoft.com/office/drawing/2014/main" xmlns="" id="{00000000-0008-0000-0200-00000D000000}"/>
              </a:ext>
            </a:extLst>
          </xdr:cNvPr>
          <xdr:cNvSpPr>
            <a:spLocks noChangeArrowheads="1"/>
          </xdr:cNvSpPr>
        </xdr:nvSpPr>
        <xdr:spPr bwMode="auto">
          <a:xfrm>
            <a:off x="16510" y="4464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4" name="Rectangle 13">
            <a:extLst>
              <a:ext uri="{FF2B5EF4-FFF2-40B4-BE49-F238E27FC236}">
                <a16:creationId xmlns:a16="http://schemas.microsoft.com/office/drawing/2014/main" xmlns="" id="{00000000-0008-0000-0200-00000E000000}"/>
              </a:ext>
            </a:extLst>
          </xdr:cNvPr>
          <xdr:cNvSpPr>
            <a:spLocks noChangeArrowheads="1"/>
          </xdr:cNvSpPr>
        </xdr:nvSpPr>
        <xdr:spPr bwMode="auto">
          <a:xfrm>
            <a:off x="16510" y="4464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5" name="Rectangle 14">
            <a:extLst>
              <a:ext uri="{FF2B5EF4-FFF2-40B4-BE49-F238E27FC236}">
                <a16:creationId xmlns:a16="http://schemas.microsoft.com/office/drawing/2014/main" xmlns="" id="{00000000-0008-0000-0200-00000F000000}"/>
              </a:ext>
            </a:extLst>
          </xdr:cNvPr>
          <xdr:cNvSpPr>
            <a:spLocks noChangeArrowheads="1"/>
          </xdr:cNvSpPr>
        </xdr:nvSpPr>
        <xdr:spPr bwMode="auto">
          <a:xfrm>
            <a:off x="187960" y="7950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 name="Rectangle 15">
            <a:extLst>
              <a:ext uri="{FF2B5EF4-FFF2-40B4-BE49-F238E27FC236}">
                <a16:creationId xmlns:a16="http://schemas.microsoft.com/office/drawing/2014/main" xmlns="" id="{00000000-0008-0000-0200-000010000000}"/>
              </a:ext>
            </a:extLst>
          </xdr:cNvPr>
          <xdr:cNvSpPr>
            <a:spLocks noChangeArrowheads="1"/>
          </xdr:cNvSpPr>
        </xdr:nvSpPr>
        <xdr:spPr bwMode="auto">
          <a:xfrm>
            <a:off x="5385435" y="4464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7" name="Rectangle 16">
            <a:extLst>
              <a:ext uri="{FF2B5EF4-FFF2-40B4-BE49-F238E27FC236}">
                <a16:creationId xmlns:a16="http://schemas.microsoft.com/office/drawing/2014/main" xmlns="" id="{00000000-0008-0000-0200-000011000000}"/>
              </a:ext>
            </a:extLst>
          </xdr:cNvPr>
          <xdr:cNvSpPr>
            <a:spLocks noChangeArrowheads="1"/>
          </xdr:cNvSpPr>
        </xdr:nvSpPr>
        <xdr:spPr bwMode="auto">
          <a:xfrm>
            <a:off x="5385435" y="4464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8" name="Rectangle 17">
            <a:extLst>
              <a:ext uri="{FF2B5EF4-FFF2-40B4-BE49-F238E27FC236}">
                <a16:creationId xmlns:a16="http://schemas.microsoft.com/office/drawing/2014/main" xmlns="" id="{00000000-0008-0000-0200-000012000000}"/>
              </a:ext>
            </a:extLst>
          </xdr:cNvPr>
          <xdr:cNvSpPr>
            <a:spLocks noChangeArrowheads="1"/>
          </xdr:cNvSpPr>
        </xdr:nvSpPr>
        <xdr:spPr bwMode="auto">
          <a:xfrm>
            <a:off x="5471160" y="8775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9" name="Line 814">
            <a:extLst>
              <a:ext uri="{FF2B5EF4-FFF2-40B4-BE49-F238E27FC236}">
                <a16:creationId xmlns:a16="http://schemas.microsoft.com/office/drawing/2014/main" xmlns="" id="{00000000-0008-0000-0200-000013000000}"/>
              </a:ext>
            </a:extLst>
          </xdr:cNvPr>
          <xdr:cNvCxnSpPr/>
        </xdr:nvCxnSpPr>
        <xdr:spPr bwMode="auto">
          <a:xfrm>
            <a:off x="1094105" y="13665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0" name="Freeform 815">
            <a:extLst>
              <a:ext uri="{FF2B5EF4-FFF2-40B4-BE49-F238E27FC236}">
                <a16:creationId xmlns:a16="http://schemas.microsoft.com/office/drawing/2014/main" xmlns="" id="{00000000-0008-0000-0200-000014000000}"/>
              </a:ext>
            </a:extLst>
          </xdr:cNvPr>
          <xdr:cNvSpPr>
            <a:spLocks/>
          </xdr:cNvSpPr>
        </xdr:nvSpPr>
        <xdr:spPr bwMode="auto">
          <a:xfrm>
            <a:off x="2504440" y="13220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21" name="Oval 816">
            <a:extLst>
              <a:ext uri="{FF2B5EF4-FFF2-40B4-BE49-F238E27FC236}">
                <a16:creationId xmlns:a16="http://schemas.microsoft.com/office/drawing/2014/main" xmlns="" id="{00000000-0008-0000-0200-000015000000}"/>
              </a:ext>
            </a:extLst>
          </xdr:cNvPr>
          <xdr:cNvSpPr>
            <a:spLocks noChangeArrowheads="1"/>
          </xdr:cNvSpPr>
        </xdr:nvSpPr>
        <xdr:spPr bwMode="auto">
          <a:xfrm>
            <a:off x="2009140" y="4622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2" name="Oval 817">
            <a:extLst>
              <a:ext uri="{FF2B5EF4-FFF2-40B4-BE49-F238E27FC236}">
                <a16:creationId xmlns:a16="http://schemas.microsoft.com/office/drawing/2014/main" xmlns="" id="{00000000-0008-0000-0200-000016000000}"/>
              </a:ext>
            </a:extLst>
          </xdr:cNvPr>
          <xdr:cNvSpPr>
            <a:spLocks noChangeArrowheads="1"/>
          </xdr:cNvSpPr>
        </xdr:nvSpPr>
        <xdr:spPr bwMode="auto">
          <a:xfrm>
            <a:off x="2009140" y="4622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3" name="Rectangle 22">
            <a:extLst>
              <a:ext uri="{FF2B5EF4-FFF2-40B4-BE49-F238E27FC236}">
                <a16:creationId xmlns:a16="http://schemas.microsoft.com/office/drawing/2014/main" xmlns="" id="{00000000-0008-0000-0200-000017000000}"/>
              </a:ext>
            </a:extLst>
          </xdr:cNvPr>
          <xdr:cNvSpPr>
            <a:spLocks noChangeArrowheads="1"/>
          </xdr:cNvSpPr>
        </xdr:nvSpPr>
        <xdr:spPr bwMode="auto">
          <a:xfrm>
            <a:off x="2096770"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 name="Oval 819">
            <a:extLst>
              <a:ext uri="{FF2B5EF4-FFF2-40B4-BE49-F238E27FC236}">
                <a16:creationId xmlns:a16="http://schemas.microsoft.com/office/drawing/2014/main" xmlns="" id="{00000000-0008-0000-0200-000018000000}"/>
              </a:ext>
            </a:extLst>
          </xdr:cNvPr>
          <xdr:cNvSpPr>
            <a:spLocks noChangeArrowheads="1"/>
          </xdr:cNvSpPr>
        </xdr:nvSpPr>
        <xdr:spPr bwMode="auto">
          <a:xfrm>
            <a:off x="4956810" y="4622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5" name="Oval 820">
            <a:extLst>
              <a:ext uri="{FF2B5EF4-FFF2-40B4-BE49-F238E27FC236}">
                <a16:creationId xmlns:a16="http://schemas.microsoft.com/office/drawing/2014/main" xmlns="" id="{00000000-0008-0000-0200-000019000000}"/>
              </a:ext>
            </a:extLst>
          </xdr:cNvPr>
          <xdr:cNvSpPr>
            <a:spLocks noChangeArrowheads="1"/>
          </xdr:cNvSpPr>
        </xdr:nvSpPr>
        <xdr:spPr bwMode="auto">
          <a:xfrm>
            <a:off x="4956810" y="4622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6" name="Rectangle 25">
            <a:extLst>
              <a:ext uri="{FF2B5EF4-FFF2-40B4-BE49-F238E27FC236}">
                <a16:creationId xmlns:a16="http://schemas.microsoft.com/office/drawing/2014/main" xmlns="" id="{00000000-0008-0000-0200-00001A000000}"/>
              </a:ext>
            </a:extLst>
          </xdr:cNvPr>
          <xdr:cNvSpPr>
            <a:spLocks noChangeArrowheads="1"/>
          </xdr:cNvSpPr>
        </xdr:nvSpPr>
        <xdr:spPr bwMode="auto">
          <a:xfrm>
            <a:off x="5045075"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 name="Freeform 822">
            <a:extLst>
              <a:ext uri="{FF2B5EF4-FFF2-40B4-BE49-F238E27FC236}">
                <a16:creationId xmlns:a16="http://schemas.microsoft.com/office/drawing/2014/main" xmlns="" id="{00000000-0008-0000-0200-00001B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28" name="Freeform 823">
            <a:extLst>
              <a:ext uri="{FF2B5EF4-FFF2-40B4-BE49-F238E27FC236}">
                <a16:creationId xmlns:a16="http://schemas.microsoft.com/office/drawing/2014/main" xmlns="" id="{00000000-0008-0000-0200-00001C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9" name="Rectangle 28">
            <a:extLst>
              <a:ext uri="{FF2B5EF4-FFF2-40B4-BE49-F238E27FC236}">
                <a16:creationId xmlns:a16="http://schemas.microsoft.com/office/drawing/2014/main" xmlns="" id="{00000000-0008-0000-0200-00001D000000}"/>
              </a:ext>
            </a:extLst>
          </xdr:cNvPr>
          <xdr:cNvSpPr>
            <a:spLocks noChangeArrowheads="1"/>
          </xdr:cNvSpPr>
        </xdr:nvSpPr>
        <xdr:spPr bwMode="auto">
          <a:xfrm>
            <a:off x="1280160" y="920115"/>
            <a:ext cx="335280" cy="15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0" name="Freeform 825">
            <a:extLst>
              <a:ext uri="{FF2B5EF4-FFF2-40B4-BE49-F238E27FC236}">
                <a16:creationId xmlns:a16="http://schemas.microsoft.com/office/drawing/2014/main" xmlns="" id="{00000000-0008-0000-0200-00001E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31" name="Freeform 826">
            <a:extLst>
              <a:ext uri="{FF2B5EF4-FFF2-40B4-BE49-F238E27FC236}">
                <a16:creationId xmlns:a16="http://schemas.microsoft.com/office/drawing/2014/main" xmlns="" id="{00000000-0008-0000-0200-00001F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32" name="Rectangle 31">
            <a:extLst>
              <a:ext uri="{FF2B5EF4-FFF2-40B4-BE49-F238E27FC236}">
                <a16:creationId xmlns:a16="http://schemas.microsoft.com/office/drawing/2014/main" xmlns="" id="{00000000-0008-0000-0200-000020000000}"/>
              </a:ext>
            </a:extLst>
          </xdr:cNvPr>
          <xdr:cNvSpPr>
            <a:spLocks noChangeArrowheads="1"/>
          </xdr:cNvSpPr>
        </xdr:nvSpPr>
        <xdr:spPr bwMode="auto">
          <a:xfrm>
            <a:off x="4253230" y="923290"/>
            <a:ext cx="356870" cy="16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3" name="Line 828">
            <a:extLst>
              <a:ext uri="{FF2B5EF4-FFF2-40B4-BE49-F238E27FC236}">
                <a16:creationId xmlns:a16="http://schemas.microsoft.com/office/drawing/2014/main" xmlns="" id="{00000000-0008-0000-0200-000021000000}"/>
              </a:ext>
            </a:extLst>
          </xdr:cNvPr>
          <xdr:cNvCxnSpPr/>
        </xdr:nvCxnSpPr>
        <xdr:spPr bwMode="auto">
          <a:xfrm>
            <a:off x="4371975" y="6038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4" name="Line 829">
            <a:extLst>
              <a:ext uri="{FF2B5EF4-FFF2-40B4-BE49-F238E27FC236}">
                <a16:creationId xmlns:a16="http://schemas.microsoft.com/office/drawing/2014/main" xmlns="" id="{00000000-0008-0000-0200-000022000000}"/>
              </a:ext>
            </a:extLst>
          </xdr:cNvPr>
          <xdr:cNvCxnSpPr/>
        </xdr:nvCxnSpPr>
        <xdr:spPr bwMode="auto">
          <a:xfrm>
            <a:off x="4371975" y="10756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5" name="Line 830">
            <a:extLst>
              <a:ext uri="{FF2B5EF4-FFF2-40B4-BE49-F238E27FC236}">
                <a16:creationId xmlns:a16="http://schemas.microsoft.com/office/drawing/2014/main" xmlns="" id="{00000000-0008-0000-0200-000023000000}"/>
              </a:ext>
            </a:extLst>
          </xdr:cNvPr>
          <xdr:cNvCxnSpPr/>
        </xdr:nvCxnSpPr>
        <xdr:spPr bwMode="auto">
          <a:xfrm flipV="1">
            <a:off x="1403350" y="1072515"/>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 name="Line 831">
            <a:extLst>
              <a:ext uri="{FF2B5EF4-FFF2-40B4-BE49-F238E27FC236}">
                <a16:creationId xmlns:a16="http://schemas.microsoft.com/office/drawing/2014/main" xmlns="" id="{00000000-0008-0000-0200-000024000000}"/>
              </a:ext>
            </a:extLst>
          </xdr:cNvPr>
          <xdr:cNvCxnSpPr/>
        </xdr:nvCxnSpPr>
        <xdr:spPr bwMode="auto">
          <a:xfrm flipV="1">
            <a:off x="1403350" y="6000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 name="Line 832">
            <a:extLst>
              <a:ext uri="{FF2B5EF4-FFF2-40B4-BE49-F238E27FC236}">
                <a16:creationId xmlns:a16="http://schemas.microsoft.com/office/drawing/2014/main" xmlns="" id="{00000000-0008-0000-0200-000025000000}"/>
              </a:ext>
            </a:extLst>
          </xdr:cNvPr>
          <xdr:cNvCxnSpPr/>
        </xdr:nvCxnSpPr>
        <xdr:spPr bwMode="auto">
          <a:xfrm flipH="1">
            <a:off x="4225925" y="12160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8" name="Line 833">
            <a:extLst>
              <a:ext uri="{FF2B5EF4-FFF2-40B4-BE49-F238E27FC236}">
                <a16:creationId xmlns:a16="http://schemas.microsoft.com/office/drawing/2014/main" xmlns="" id="{00000000-0008-0000-0200-000026000000}"/>
              </a:ext>
            </a:extLst>
          </xdr:cNvPr>
          <xdr:cNvCxnSpPr/>
        </xdr:nvCxnSpPr>
        <xdr:spPr bwMode="auto">
          <a:xfrm flipH="1">
            <a:off x="4232910" y="7562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9" name="Line 834">
            <a:extLst>
              <a:ext uri="{FF2B5EF4-FFF2-40B4-BE49-F238E27FC236}">
                <a16:creationId xmlns:a16="http://schemas.microsoft.com/office/drawing/2014/main" xmlns="" id="{00000000-0008-0000-0200-000027000000}"/>
              </a:ext>
            </a:extLst>
          </xdr:cNvPr>
          <xdr:cNvCxnSpPr/>
        </xdr:nvCxnSpPr>
        <xdr:spPr bwMode="auto">
          <a:xfrm>
            <a:off x="1403350" y="7531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40" name="Line 835">
            <a:extLst>
              <a:ext uri="{FF2B5EF4-FFF2-40B4-BE49-F238E27FC236}">
                <a16:creationId xmlns:a16="http://schemas.microsoft.com/office/drawing/2014/main" xmlns="" id="{00000000-0008-0000-0200-000028000000}"/>
              </a:ext>
            </a:extLst>
          </xdr:cNvPr>
          <xdr:cNvCxnSpPr/>
        </xdr:nvCxnSpPr>
        <xdr:spPr bwMode="auto">
          <a:xfrm>
            <a:off x="1403350" y="12128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41" name="Oval 836">
            <a:extLst>
              <a:ext uri="{FF2B5EF4-FFF2-40B4-BE49-F238E27FC236}">
                <a16:creationId xmlns:a16="http://schemas.microsoft.com/office/drawing/2014/main" xmlns="" id="{00000000-0008-0000-0200-000029000000}"/>
              </a:ext>
            </a:extLst>
          </xdr:cNvPr>
          <xdr:cNvSpPr>
            <a:spLocks noChangeArrowheads="1"/>
          </xdr:cNvSpPr>
        </xdr:nvSpPr>
        <xdr:spPr bwMode="auto">
          <a:xfrm>
            <a:off x="1556385" y="11366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2" name="Oval 837">
            <a:extLst>
              <a:ext uri="{FF2B5EF4-FFF2-40B4-BE49-F238E27FC236}">
                <a16:creationId xmlns:a16="http://schemas.microsoft.com/office/drawing/2014/main" xmlns="" id="{00000000-0008-0000-0200-00002A000000}"/>
              </a:ext>
            </a:extLst>
          </xdr:cNvPr>
          <xdr:cNvSpPr>
            <a:spLocks noChangeArrowheads="1"/>
          </xdr:cNvSpPr>
        </xdr:nvSpPr>
        <xdr:spPr bwMode="auto">
          <a:xfrm>
            <a:off x="1556385" y="11366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3" name="Rectangle 42">
            <a:extLst>
              <a:ext uri="{FF2B5EF4-FFF2-40B4-BE49-F238E27FC236}">
                <a16:creationId xmlns:a16="http://schemas.microsoft.com/office/drawing/2014/main" xmlns="" id="{00000000-0008-0000-0200-00002B000000}"/>
              </a:ext>
            </a:extLst>
          </xdr:cNvPr>
          <xdr:cNvSpPr>
            <a:spLocks noChangeArrowheads="1"/>
          </xdr:cNvSpPr>
        </xdr:nvSpPr>
        <xdr:spPr bwMode="auto">
          <a:xfrm>
            <a:off x="1598930" y="11461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4" name="Oval 839">
            <a:extLst>
              <a:ext uri="{FF2B5EF4-FFF2-40B4-BE49-F238E27FC236}">
                <a16:creationId xmlns:a16="http://schemas.microsoft.com/office/drawing/2014/main" xmlns="" id="{00000000-0008-0000-0200-00002C000000}"/>
              </a:ext>
            </a:extLst>
          </xdr:cNvPr>
          <xdr:cNvSpPr>
            <a:spLocks noChangeArrowheads="1"/>
          </xdr:cNvSpPr>
        </xdr:nvSpPr>
        <xdr:spPr bwMode="auto">
          <a:xfrm>
            <a:off x="1556385" y="6762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5" name="Oval 840">
            <a:extLst>
              <a:ext uri="{FF2B5EF4-FFF2-40B4-BE49-F238E27FC236}">
                <a16:creationId xmlns:a16="http://schemas.microsoft.com/office/drawing/2014/main" xmlns="" id="{00000000-0008-0000-0200-00002D000000}"/>
              </a:ext>
            </a:extLst>
          </xdr:cNvPr>
          <xdr:cNvSpPr>
            <a:spLocks noChangeArrowheads="1"/>
          </xdr:cNvSpPr>
        </xdr:nvSpPr>
        <xdr:spPr bwMode="auto">
          <a:xfrm>
            <a:off x="1556385" y="6762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6" name="Rectangle 45">
            <a:extLst>
              <a:ext uri="{FF2B5EF4-FFF2-40B4-BE49-F238E27FC236}">
                <a16:creationId xmlns:a16="http://schemas.microsoft.com/office/drawing/2014/main" xmlns="" id="{00000000-0008-0000-0200-00002E000000}"/>
              </a:ext>
            </a:extLst>
          </xdr:cNvPr>
          <xdr:cNvSpPr>
            <a:spLocks noChangeArrowheads="1"/>
          </xdr:cNvSpPr>
        </xdr:nvSpPr>
        <xdr:spPr bwMode="auto">
          <a:xfrm>
            <a:off x="1598930" y="6921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7" name="Oval 842">
            <a:extLst>
              <a:ext uri="{FF2B5EF4-FFF2-40B4-BE49-F238E27FC236}">
                <a16:creationId xmlns:a16="http://schemas.microsoft.com/office/drawing/2014/main" xmlns="" id="{00000000-0008-0000-0200-00002F000000}"/>
              </a:ext>
            </a:extLst>
          </xdr:cNvPr>
          <xdr:cNvSpPr>
            <a:spLocks noChangeArrowheads="1"/>
          </xdr:cNvSpPr>
        </xdr:nvSpPr>
        <xdr:spPr bwMode="auto">
          <a:xfrm>
            <a:off x="4064000" y="11404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8" name="Oval 843">
            <a:extLst>
              <a:ext uri="{FF2B5EF4-FFF2-40B4-BE49-F238E27FC236}">
                <a16:creationId xmlns:a16="http://schemas.microsoft.com/office/drawing/2014/main" xmlns="" id="{00000000-0008-0000-0200-000030000000}"/>
              </a:ext>
            </a:extLst>
          </xdr:cNvPr>
          <xdr:cNvSpPr>
            <a:spLocks noChangeArrowheads="1"/>
          </xdr:cNvSpPr>
        </xdr:nvSpPr>
        <xdr:spPr bwMode="auto">
          <a:xfrm>
            <a:off x="4064000" y="11404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9" name="Rectangle 48">
            <a:extLst>
              <a:ext uri="{FF2B5EF4-FFF2-40B4-BE49-F238E27FC236}">
                <a16:creationId xmlns:a16="http://schemas.microsoft.com/office/drawing/2014/main" xmlns="" id="{00000000-0008-0000-0200-000031000000}"/>
              </a:ext>
            </a:extLst>
          </xdr:cNvPr>
          <xdr:cNvSpPr>
            <a:spLocks noChangeArrowheads="1"/>
          </xdr:cNvSpPr>
        </xdr:nvSpPr>
        <xdr:spPr bwMode="auto">
          <a:xfrm>
            <a:off x="4107180" y="11499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0" name="Oval 845">
            <a:extLst>
              <a:ext uri="{FF2B5EF4-FFF2-40B4-BE49-F238E27FC236}">
                <a16:creationId xmlns:a16="http://schemas.microsoft.com/office/drawing/2014/main" xmlns="" id="{00000000-0008-0000-0200-000032000000}"/>
              </a:ext>
            </a:extLst>
          </xdr:cNvPr>
          <xdr:cNvSpPr>
            <a:spLocks noChangeArrowheads="1"/>
          </xdr:cNvSpPr>
        </xdr:nvSpPr>
        <xdr:spPr bwMode="auto">
          <a:xfrm>
            <a:off x="4064000" y="6807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51" name="Oval 846">
            <a:extLst>
              <a:ext uri="{FF2B5EF4-FFF2-40B4-BE49-F238E27FC236}">
                <a16:creationId xmlns:a16="http://schemas.microsoft.com/office/drawing/2014/main" xmlns="" id="{00000000-0008-0000-0200-000033000000}"/>
              </a:ext>
            </a:extLst>
          </xdr:cNvPr>
          <xdr:cNvSpPr>
            <a:spLocks noChangeArrowheads="1"/>
          </xdr:cNvSpPr>
        </xdr:nvSpPr>
        <xdr:spPr bwMode="auto">
          <a:xfrm>
            <a:off x="4064000" y="6807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2" name="Rectangle 51">
            <a:extLst>
              <a:ext uri="{FF2B5EF4-FFF2-40B4-BE49-F238E27FC236}">
                <a16:creationId xmlns:a16="http://schemas.microsoft.com/office/drawing/2014/main" xmlns="" id="{00000000-0008-0000-0200-000034000000}"/>
              </a:ext>
            </a:extLst>
          </xdr:cNvPr>
          <xdr:cNvSpPr>
            <a:spLocks noChangeArrowheads="1"/>
          </xdr:cNvSpPr>
        </xdr:nvSpPr>
        <xdr:spPr bwMode="auto">
          <a:xfrm>
            <a:off x="4107180" y="6953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3" name="Freeform 848">
            <a:extLst>
              <a:ext uri="{FF2B5EF4-FFF2-40B4-BE49-F238E27FC236}">
                <a16:creationId xmlns:a16="http://schemas.microsoft.com/office/drawing/2014/main" xmlns="" id="{00000000-0008-0000-0200-000035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4" name="Freeform 849">
            <a:extLst>
              <a:ext uri="{FF2B5EF4-FFF2-40B4-BE49-F238E27FC236}">
                <a16:creationId xmlns:a16="http://schemas.microsoft.com/office/drawing/2014/main" xmlns="" id="{00000000-0008-0000-0200-000036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5" name="Rectangle 54">
            <a:extLst>
              <a:ext uri="{FF2B5EF4-FFF2-40B4-BE49-F238E27FC236}">
                <a16:creationId xmlns:a16="http://schemas.microsoft.com/office/drawing/2014/main" xmlns="" id="{00000000-0008-0000-0200-000037000000}"/>
              </a:ext>
            </a:extLst>
          </xdr:cNvPr>
          <xdr:cNvSpPr>
            <a:spLocks noChangeArrowheads="1"/>
          </xdr:cNvSpPr>
        </xdr:nvSpPr>
        <xdr:spPr bwMode="auto">
          <a:xfrm>
            <a:off x="4988560" y="927734"/>
            <a:ext cx="353060" cy="16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3</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6" name="Freeform 851">
            <a:extLst>
              <a:ext uri="{FF2B5EF4-FFF2-40B4-BE49-F238E27FC236}">
                <a16:creationId xmlns:a16="http://schemas.microsoft.com/office/drawing/2014/main" xmlns="" id="{00000000-0008-0000-0200-000038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7" name="Freeform 852">
            <a:extLst>
              <a:ext uri="{FF2B5EF4-FFF2-40B4-BE49-F238E27FC236}">
                <a16:creationId xmlns:a16="http://schemas.microsoft.com/office/drawing/2014/main" xmlns="" id="{00000000-0008-0000-0200-000039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8" name="Rectangle 57">
            <a:extLst>
              <a:ext uri="{FF2B5EF4-FFF2-40B4-BE49-F238E27FC236}">
                <a16:creationId xmlns:a16="http://schemas.microsoft.com/office/drawing/2014/main" xmlns="" id="{00000000-0008-0000-0200-00003A000000}"/>
              </a:ext>
            </a:extLst>
          </xdr:cNvPr>
          <xdr:cNvSpPr>
            <a:spLocks noChangeArrowheads="1"/>
          </xdr:cNvSpPr>
        </xdr:nvSpPr>
        <xdr:spPr bwMode="auto">
          <a:xfrm>
            <a:off x="2022474" y="920114"/>
            <a:ext cx="377826" cy="15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4</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59" name="Line 854">
            <a:extLst>
              <a:ext uri="{FF2B5EF4-FFF2-40B4-BE49-F238E27FC236}">
                <a16:creationId xmlns:a16="http://schemas.microsoft.com/office/drawing/2014/main" xmlns="" id="{00000000-0008-0000-0200-00003B000000}"/>
              </a:ext>
            </a:extLst>
          </xdr:cNvPr>
          <xdr:cNvCxnSpPr/>
        </xdr:nvCxnSpPr>
        <xdr:spPr bwMode="auto">
          <a:xfrm>
            <a:off x="5102225" y="7366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60" name="Line 855">
            <a:extLst>
              <a:ext uri="{FF2B5EF4-FFF2-40B4-BE49-F238E27FC236}">
                <a16:creationId xmlns:a16="http://schemas.microsoft.com/office/drawing/2014/main" xmlns="" id="{00000000-0008-0000-0200-00003C000000}"/>
              </a:ext>
            </a:extLst>
          </xdr:cNvPr>
          <xdr:cNvCxnSpPr/>
        </xdr:nvCxnSpPr>
        <xdr:spPr bwMode="auto">
          <a:xfrm>
            <a:off x="2141220" y="7366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61" name="Rectangle 60">
            <a:extLst>
              <a:ext uri="{FF2B5EF4-FFF2-40B4-BE49-F238E27FC236}">
                <a16:creationId xmlns:a16="http://schemas.microsoft.com/office/drawing/2014/main" xmlns="" id="{00000000-0008-0000-0200-00003D000000}"/>
              </a:ext>
            </a:extLst>
          </xdr:cNvPr>
          <xdr:cNvSpPr>
            <a:spLocks noChangeArrowheads="1"/>
          </xdr:cNvSpPr>
        </xdr:nvSpPr>
        <xdr:spPr bwMode="auto">
          <a:xfrm>
            <a:off x="2607310" y="1028700"/>
            <a:ext cx="1216026" cy="3378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fr-FR" sz="8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 appoint éventuel)</a:t>
            </a:r>
            <a:endParaRPr lang="fr-FR" sz="9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2" name="Rectangle 61">
            <a:extLst>
              <a:ext uri="{FF2B5EF4-FFF2-40B4-BE49-F238E27FC236}">
                <a16:creationId xmlns:a16="http://schemas.microsoft.com/office/drawing/2014/main" xmlns="" id="{00000000-0008-0000-0200-00003E000000}"/>
              </a:ext>
            </a:extLst>
          </xdr:cNvPr>
          <xdr:cNvSpPr>
            <a:spLocks noChangeArrowheads="1"/>
          </xdr:cNvSpPr>
        </xdr:nvSpPr>
        <xdr:spPr bwMode="auto">
          <a:xfrm>
            <a:off x="2672715" y="10217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3" name="Rectangle 62">
            <a:extLst>
              <a:ext uri="{FF2B5EF4-FFF2-40B4-BE49-F238E27FC236}">
                <a16:creationId xmlns:a16="http://schemas.microsoft.com/office/drawing/2014/main" xmlns="" id="{00000000-0008-0000-0200-00003F000000}"/>
              </a:ext>
            </a:extLst>
          </xdr:cNvPr>
          <xdr:cNvSpPr>
            <a:spLocks noChangeArrowheads="1"/>
          </xdr:cNvSpPr>
        </xdr:nvSpPr>
        <xdr:spPr bwMode="auto">
          <a:xfrm>
            <a:off x="3645535" y="1146175"/>
            <a:ext cx="3556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2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4" name="Freeform 861">
            <a:extLst>
              <a:ext uri="{FF2B5EF4-FFF2-40B4-BE49-F238E27FC236}">
                <a16:creationId xmlns:a16="http://schemas.microsoft.com/office/drawing/2014/main" xmlns="" id="{00000000-0008-0000-0200-000040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5" name="Freeform 862">
            <a:extLst>
              <a:ext uri="{FF2B5EF4-FFF2-40B4-BE49-F238E27FC236}">
                <a16:creationId xmlns:a16="http://schemas.microsoft.com/office/drawing/2014/main" xmlns="" id="{00000000-0008-0000-0200-000041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6" name="Rectangle 65">
            <a:extLst>
              <a:ext uri="{FF2B5EF4-FFF2-40B4-BE49-F238E27FC236}">
                <a16:creationId xmlns:a16="http://schemas.microsoft.com/office/drawing/2014/main" xmlns="" id="{00000000-0008-0000-0200-000042000000}"/>
              </a:ext>
            </a:extLst>
          </xdr:cNvPr>
          <xdr:cNvSpPr>
            <a:spLocks noChangeArrowheads="1"/>
          </xdr:cNvSpPr>
        </xdr:nvSpPr>
        <xdr:spPr bwMode="auto">
          <a:xfrm>
            <a:off x="130810" y="1827530"/>
            <a:ext cx="232410"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7" name="Freeform 864">
            <a:extLst>
              <a:ext uri="{FF2B5EF4-FFF2-40B4-BE49-F238E27FC236}">
                <a16:creationId xmlns:a16="http://schemas.microsoft.com/office/drawing/2014/main" xmlns="" id="{00000000-0008-0000-0200-000043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8" name="Freeform 865">
            <a:extLst>
              <a:ext uri="{FF2B5EF4-FFF2-40B4-BE49-F238E27FC236}">
                <a16:creationId xmlns:a16="http://schemas.microsoft.com/office/drawing/2014/main" xmlns="" id="{00000000-0008-0000-0200-000044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9" name="Rectangle 68">
            <a:extLst>
              <a:ext uri="{FF2B5EF4-FFF2-40B4-BE49-F238E27FC236}">
                <a16:creationId xmlns:a16="http://schemas.microsoft.com/office/drawing/2014/main" xmlns="" id="{00000000-0008-0000-0200-000045000000}"/>
              </a:ext>
            </a:extLst>
          </xdr:cNvPr>
          <xdr:cNvSpPr>
            <a:spLocks noChangeArrowheads="1"/>
          </xdr:cNvSpPr>
        </xdr:nvSpPr>
        <xdr:spPr bwMode="auto">
          <a:xfrm>
            <a:off x="130810" y="2136140"/>
            <a:ext cx="23749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0" name="Oval 867">
            <a:extLst>
              <a:ext uri="{FF2B5EF4-FFF2-40B4-BE49-F238E27FC236}">
                <a16:creationId xmlns:a16="http://schemas.microsoft.com/office/drawing/2014/main" xmlns="" id="{00000000-0008-0000-0200-000046000000}"/>
              </a:ext>
            </a:extLst>
          </xdr:cNvPr>
          <xdr:cNvSpPr>
            <a:spLocks noChangeArrowheads="1"/>
          </xdr:cNvSpPr>
        </xdr:nvSpPr>
        <xdr:spPr bwMode="auto">
          <a:xfrm>
            <a:off x="175260" y="24269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71" name="Freeform 868">
            <a:extLst>
              <a:ext uri="{FF2B5EF4-FFF2-40B4-BE49-F238E27FC236}">
                <a16:creationId xmlns:a16="http://schemas.microsoft.com/office/drawing/2014/main" xmlns="" id="{00000000-0008-0000-0200-000047000000}"/>
              </a:ext>
            </a:extLst>
          </xdr:cNvPr>
          <xdr:cNvSpPr>
            <a:spLocks/>
          </xdr:cNvSpPr>
        </xdr:nvSpPr>
        <xdr:spPr bwMode="auto">
          <a:xfrm>
            <a:off x="175260" y="24269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2" name="Rectangle 71">
            <a:extLst>
              <a:ext uri="{FF2B5EF4-FFF2-40B4-BE49-F238E27FC236}">
                <a16:creationId xmlns:a16="http://schemas.microsoft.com/office/drawing/2014/main" xmlns="" id="{00000000-0008-0000-0200-000048000000}"/>
              </a:ext>
            </a:extLst>
          </xdr:cNvPr>
          <xdr:cNvSpPr>
            <a:spLocks noChangeArrowheads="1"/>
          </xdr:cNvSpPr>
        </xdr:nvSpPr>
        <xdr:spPr bwMode="auto">
          <a:xfrm>
            <a:off x="220345" y="24364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3" name="Rectangle 72">
            <a:extLst>
              <a:ext uri="{FF2B5EF4-FFF2-40B4-BE49-F238E27FC236}">
                <a16:creationId xmlns:a16="http://schemas.microsoft.com/office/drawing/2014/main" xmlns="" id="{00000000-0008-0000-0200-000049000000}"/>
              </a:ext>
            </a:extLst>
          </xdr:cNvPr>
          <xdr:cNvSpPr>
            <a:spLocks noChangeArrowheads="1"/>
          </xdr:cNvSpPr>
        </xdr:nvSpPr>
        <xdr:spPr bwMode="auto">
          <a:xfrm>
            <a:off x="605155" y="18262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4" name="Rectangle 73">
            <a:extLst>
              <a:ext uri="{FF2B5EF4-FFF2-40B4-BE49-F238E27FC236}">
                <a16:creationId xmlns:a16="http://schemas.microsoft.com/office/drawing/2014/main" xmlns="" id="{00000000-0008-0000-0200-00004A000000}"/>
              </a:ext>
            </a:extLst>
          </xdr:cNvPr>
          <xdr:cNvSpPr>
            <a:spLocks noChangeArrowheads="1"/>
          </xdr:cNvSpPr>
        </xdr:nvSpPr>
        <xdr:spPr bwMode="auto">
          <a:xfrm>
            <a:off x="605155" y="18262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5" name="Rectangle 74">
            <a:extLst>
              <a:ext uri="{FF2B5EF4-FFF2-40B4-BE49-F238E27FC236}">
                <a16:creationId xmlns:a16="http://schemas.microsoft.com/office/drawing/2014/main" xmlns="" id="{00000000-0008-0000-0200-00004B000000}"/>
              </a:ext>
            </a:extLst>
          </xdr:cNvPr>
          <xdr:cNvSpPr>
            <a:spLocks noChangeArrowheads="1"/>
          </xdr:cNvSpPr>
        </xdr:nvSpPr>
        <xdr:spPr bwMode="auto">
          <a:xfrm>
            <a:off x="643890" y="18288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6" name="Rectangle 75">
            <a:extLst>
              <a:ext uri="{FF2B5EF4-FFF2-40B4-BE49-F238E27FC236}">
                <a16:creationId xmlns:a16="http://schemas.microsoft.com/office/drawing/2014/main" xmlns="" id="{00000000-0008-0000-0200-00004C000000}"/>
              </a:ext>
            </a:extLst>
          </xdr:cNvPr>
          <xdr:cNvSpPr>
            <a:spLocks noChangeArrowheads="1"/>
          </xdr:cNvSpPr>
        </xdr:nvSpPr>
        <xdr:spPr bwMode="auto">
          <a:xfrm>
            <a:off x="617220" y="24390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7" name="Rectangle 76">
            <a:extLst>
              <a:ext uri="{FF2B5EF4-FFF2-40B4-BE49-F238E27FC236}">
                <a16:creationId xmlns:a16="http://schemas.microsoft.com/office/drawing/2014/main" xmlns="" id="{00000000-0008-0000-0200-00004D000000}"/>
              </a:ext>
            </a:extLst>
          </xdr:cNvPr>
          <xdr:cNvSpPr>
            <a:spLocks noChangeArrowheads="1"/>
          </xdr:cNvSpPr>
        </xdr:nvSpPr>
        <xdr:spPr bwMode="auto">
          <a:xfrm>
            <a:off x="617220" y="24390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8" name="Rectangle 77">
            <a:extLst>
              <a:ext uri="{FF2B5EF4-FFF2-40B4-BE49-F238E27FC236}">
                <a16:creationId xmlns:a16="http://schemas.microsoft.com/office/drawing/2014/main" xmlns="" id="{00000000-0008-0000-0200-00004E000000}"/>
              </a:ext>
            </a:extLst>
          </xdr:cNvPr>
          <xdr:cNvSpPr>
            <a:spLocks noChangeArrowheads="1"/>
          </xdr:cNvSpPr>
        </xdr:nvSpPr>
        <xdr:spPr bwMode="auto">
          <a:xfrm>
            <a:off x="652780" y="24669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9" name="Rectangle 78">
            <a:extLst>
              <a:ext uri="{FF2B5EF4-FFF2-40B4-BE49-F238E27FC236}">
                <a16:creationId xmlns:a16="http://schemas.microsoft.com/office/drawing/2014/main" xmlns="" id="{00000000-0008-0000-0200-00004F000000}"/>
              </a:ext>
            </a:extLst>
          </xdr:cNvPr>
          <xdr:cNvSpPr>
            <a:spLocks noChangeArrowheads="1"/>
          </xdr:cNvSpPr>
        </xdr:nvSpPr>
        <xdr:spPr bwMode="auto">
          <a:xfrm>
            <a:off x="610235" y="21329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80" name="Rectangle 79">
            <a:extLst>
              <a:ext uri="{FF2B5EF4-FFF2-40B4-BE49-F238E27FC236}">
                <a16:creationId xmlns:a16="http://schemas.microsoft.com/office/drawing/2014/main" xmlns="" id="{00000000-0008-0000-0200-000050000000}"/>
              </a:ext>
            </a:extLst>
          </xdr:cNvPr>
          <xdr:cNvSpPr>
            <a:spLocks noChangeArrowheads="1"/>
          </xdr:cNvSpPr>
        </xdr:nvSpPr>
        <xdr:spPr bwMode="auto">
          <a:xfrm>
            <a:off x="610235" y="21329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1" name="Rectangle 80">
            <a:extLst>
              <a:ext uri="{FF2B5EF4-FFF2-40B4-BE49-F238E27FC236}">
                <a16:creationId xmlns:a16="http://schemas.microsoft.com/office/drawing/2014/main" xmlns="" id="{00000000-0008-0000-0200-000051000000}"/>
              </a:ext>
            </a:extLst>
          </xdr:cNvPr>
          <xdr:cNvSpPr>
            <a:spLocks noChangeArrowheads="1"/>
          </xdr:cNvSpPr>
        </xdr:nvSpPr>
        <xdr:spPr bwMode="auto">
          <a:xfrm>
            <a:off x="652780" y="2171700"/>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82" name="Freeform 879">
            <a:extLst>
              <a:ext uri="{FF2B5EF4-FFF2-40B4-BE49-F238E27FC236}">
                <a16:creationId xmlns:a16="http://schemas.microsoft.com/office/drawing/2014/main" xmlns="" id="{00000000-0008-0000-0200-000052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3" name="Freeform 880">
            <a:extLst>
              <a:ext uri="{FF2B5EF4-FFF2-40B4-BE49-F238E27FC236}">
                <a16:creationId xmlns:a16="http://schemas.microsoft.com/office/drawing/2014/main" xmlns="" id="{00000000-0008-0000-0200-000053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4" name="Rectangle 83">
            <a:extLst>
              <a:ext uri="{FF2B5EF4-FFF2-40B4-BE49-F238E27FC236}">
                <a16:creationId xmlns:a16="http://schemas.microsoft.com/office/drawing/2014/main" xmlns="" id="{00000000-0008-0000-0200-000054000000}"/>
              </a:ext>
            </a:extLst>
          </xdr:cNvPr>
          <xdr:cNvSpPr>
            <a:spLocks noChangeArrowheads="1"/>
          </xdr:cNvSpPr>
        </xdr:nvSpPr>
        <xdr:spPr bwMode="auto">
          <a:xfrm>
            <a:off x="2715895" y="1852295"/>
            <a:ext cx="34734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5" name="Line 882">
            <a:extLst>
              <a:ext uri="{FF2B5EF4-FFF2-40B4-BE49-F238E27FC236}">
                <a16:creationId xmlns:a16="http://schemas.microsoft.com/office/drawing/2014/main" xmlns="" id="{00000000-0008-0000-0200-000055000000}"/>
              </a:ext>
            </a:extLst>
          </xdr:cNvPr>
          <xdr:cNvCxnSpPr/>
        </xdr:nvCxnSpPr>
        <xdr:spPr bwMode="auto">
          <a:xfrm flipV="1">
            <a:off x="2831465" y="1673225"/>
            <a:ext cx="635"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86" name="Freeform 883">
            <a:extLst>
              <a:ext uri="{FF2B5EF4-FFF2-40B4-BE49-F238E27FC236}">
                <a16:creationId xmlns:a16="http://schemas.microsoft.com/office/drawing/2014/main" xmlns="" id="{00000000-0008-0000-0200-000056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7" name="Freeform 884">
            <a:extLst>
              <a:ext uri="{FF2B5EF4-FFF2-40B4-BE49-F238E27FC236}">
                <a16:creationId xmlns:a16="http://schemas.microsoft.com/office/drawing/2014/main" xmlns="" id="{00000000-0008-0000-0200-000057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8" name="Rectangle 87">
            <a:extLst>
              <a:ext uri="{FF2B5EF4-FFF2-40B4-BE49-F238E27FC236}">
                <a16:creationId xmlns:a16="http://schemas.microsoft.com/office/drawing/2014/main" xmlns="" id="{00000000-0008-0000-0200-000058000000}"/>
              </a:ext>
            </a:extLst>
          </xdr:cNvPr>
          <xdr:cNvSpPr>
            <a:spLocks noChangeArrowheads="1"/>
          </xdr:cNvSpPr>
        </xdr:nvSpPr>
        <xdr:spPr bwMode="auto">
          <a:xfrm>
            <a:off x="3466464" y="1852294"/>
            <a:ext cx="396875" cy="18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9" name="Line 886">
            <a:extLst>
              <a:ext uri="{FF2B5EF4-FFF2-40B4-BE49-F238E27FC236}">
                <a16:creationId xmlns:a16="http://schemas.microsoft.com/office/drawing/2014/main" xmlns="" id="{00000000-0008-0000-0200-000059000000}"/>
              </a:ext>
            </a:extLst>
          </xdr:cNvPr>
          <xdr:cNvCxnSpPr/>
        </xdr:nvCxnSpPr>
        <xdr:spPr bwMode="auto">
          <a:xfrm flipV="1">
            <a:off x="3586480" y="1673225"/>
            <a:ext cx="1270"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90" name="Rectangle 89">
            <a:extLst>
              <a:ext uri="{FF2B5EF4-FFF2-40B4-BE49-F238E27FC236}">
                <a16:creationId xmlns:a16="http://schemas.microsoft.com/office/drawing/2014/main" xmlns="" id="{00000000-0008-0000-0200-00005A000000}"/>
              </a:ext>
            </a:extLst>
          </xdr:cNvPr>
          <xdr:cNvSpPr>
            <a:spLocks noChangeArrowheads="1"/>
          </xdr:cNvSpPr>
        </xdr:nvSpPr>
        <xdr:spPr bwMode="auto">
          <a:xfrm>
            <a:off x="2677795" y="20567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1" name="Rectangle 90">
            <a:extLst>
              <a:ext uri="{FF2B5EF4-FFF2-40B4-BE49-F238E27FC236}">
                <a16:creationId xmlns:a16="http://schemas.microsoft.com/office/drawing/2014/main" xmlns="" id="{00000000-0008-0000-0200-00005B000000}"/>
              </a:ext>
            </a:extLst>
          </xdr:cNvPr>
          <xdr:cNvSpPr>
            <a:spLocks noChangeArrowheads="1"/>
          </xdr:cNvSpPr>
        </xdr:nvSpPr>
        <xdr:spPr bwMode="auto">
          <a:xfrm>
            <a:off x="2677795" y="20567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2" name="Rectangle 91">
            <a:extLst>
              <a:ext uri="{FF2B5EF4-FFF2-40B4-BE49-F238E27FC236}">
                <a16:creationId xmlns:a16="http://schemas.microsoft.com/office/drawing/2014/main" xmlns="" id="{00000000-0008-0000-0200-00005C000000}"/>
              </a:ext>
            </a:extLst>
          </xdr:cNvPr>
          <xdr:cNvSpPr>
            <a:spLocks noChangeArrowheads="1"/>
          </xdr:cNvSpPr>
        </xdr:nvSpPr>
        <xdr:spPr bwMode="auto">
          <a:xfrm>
            <a:off x="2715895" y="20713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93" name="Rectangle 92">
            <a:extLst>
              <a:ext uri="{FF2B5EF4-FFF2-40B4-BE49-F238E27FC236}">
                <a16:creationId xmlns:a16="http://schemas.microsoft.com/office/drawing/2014/main" xmlns="" id="{00000000-0008-0000-0200-00005D000000}"/>
              </a:ext>
            </a:extLst>
          </xdr:cNvPr>
          <xdr:cNvSpPr>
            <a:spLocks noChangeArrowheads="1"/>
          </xdr:cNvSpPr>
        </xdr:nvSpPr>
        <xdr:spPr bwMode="auto">
          <a:xfrm>
            <a:off x="3364230" y="20567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4" name="Rectangle 93">
            <a:extLst>
              <a:ext uri="{FF2B5EF4-FFF2-40B4-BE49-F238E27FC236}">
                <a16:creationId xmlns:a16="http://schemas.microsoft.com/office/drawing/2014/main" xmlns="" id="{00000000-0008-0000-0200-00005E000000}"/>
              </a:ext>
            </a:extLst>
          </xdr:cNvPr>
          <xdr:cNvSpPr>
            <a:spLocks noChangeArrowheads="1"/>
          </xdr:cNvSpPr>
        </xdr:nvSpPr>
        <xdr:spPr bwMode="auto">
          <a:xfrm>
            <a:off x="3364230" y="20574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5" name="Rectangle 94">
            <a:extLst>
              <a:ext uri="{FF2B5EF4-FFF2-40B4-BE49-F238E27FC236}">
                <a16:creationId xmlns:a16="http://schemas.microsoft.com/office/drawing/2014/main" xmlns="" id="{00000000-0008-0000-0200-00005F000000}"/>
              </a:ext>
            </a:extLst>
          </xdr:cNvPr>
          <xdr:cNvSpPr>
            <a:spLocks noChangeArrowheads="1"/>
          </xdr:cNvSpPr>
        </xdr:nvSpPr>
        <xdr:spPr bwMode="auto">
          <a:xfrm>
            <a:off x="3409950" y="20713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96" name="Line 893">
            <a:extLst>
              <a:ext uri="{FF2B5EF4-FFF2-40B4-BE49-F238E27FC236}">
                <a16:creationId xmlns:a16="http://schemas.microsoft.com/office/drawing/2014/main" xmlns="" id="{00000000-0008-0000-0200-000060000000}"/>
              </a:ext>
            </a:extLst>
          </xdr:cNvPr>
          <xdr:cNvCxnSpPr/>
        </xdr:nvCxnSpPr>
        <xdr:spPr bwMode="auto">
          <a:xfrm>
            <a:off x="4721860" y="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15</xdr:col>
      <xdr:colOff>0</xdr:colOff>
      <xdr:row>145</xdr:row>
      <xdr:rowOff>0</xdr:rowOff>
    </xdr:from>
    <xdr:to>
      <xdr:col>28</xdr:col>
      <xdr:colOff>695325</xdr:colOff>
      <xdr:row>172</xdr:row>
      <xdr:rowOff>9525</xdr:rowOff>
    </xdr:to>
    <xdr:grpSp>
      <xdr:nvGrpSpPr>
        <xdr:cNvPr id="97" name="Zone de dessin 894">
          <a:extLst>
            <a:ext uri="{FF2B5EF4-FFF2-40B4-BE49-F238E27FC236}">
              <a16:creationId xmlns:a16="http://schemas.microsoft.com/office/drawing/2014/main" xmlns="" id="{00000000-0008-0000-0200-000061000000}"/>
            </a:ext>
          </a:extLst>
        </xdr:cNvPr>
        <xdr:cNvGrpSpPr/>
      </xdr:nvGrpSpPr>
      <xdr:grpSpPr>
        <a:xfrm>
          <a:off x="14751844" y="25967531"/>
          <a:ext cx="8755856" cy="3652838"/>
          <a:chOff x="0" y="0"/>
          <a:chExt cx="6479540" cy="3268345"/>
        </a:xfrm>
      </xdr:grpSpPr>
      <xdr:sp macro="" textlink="">
        <xdr:nvSpPr>
          <xdr:cNvPr id="98" name="Rectangle 97">
            <a:extLst>
              <a:ext uri="{FF2B5EF4-FFF2-40B4-BE49-F238E27FC236}">
                <a16:creationId xmlns:a16="http://schemas.microsoft.com/office/drawing/2014/main" xmlns="" id="{00000000-0008-0000-0200-000062000000}"/>
              </a:ext>
            </a:extLst>
          </xdr:cNvPr>
          <xdr:cNvSpPr/>
        </xdr:nvSpPr>
        <xdr:spPr>
          <a:xfrm>
            <a:off x="0" y="0"/>
            <a:ext cx="6479540" cy="3268345"/>
          </a:xfrm>
          <a:prstGeom prst="rect">
            <a:avLst/>
          </a:prstGeom>
          <a:noFill/>
          <a:ln>
            <a:noFill/>
          </a:ln>
        </xdr:spPr>
      </xdr:sp>
      <xdr:sp macro="" textlink="">
        <xdr:nvSpPr>
          <xdr:cNvPr id="99" name="AutoShape 896">
            <a:extLst>
              <a:ext uri="{FF2B5EF4-FFF2-40B4-BE49-F238E27FC236}">
                <a16:creationId xmlns:a16="http://schemas.microsoft.com/office/drawing/2014/main" xmlns="" id="{00000000-0008-0000-0200-000063000000}"/>
              </a:ext>
            </a:extLst>
          </xdr:cNvPr>
          <xdr:cNvSpPr>
            <a:spLocks noChangeAspect="1" noChangeArrowheads="1"/>
          </xdr:cNvSpPr>
        </xdr:nvSpPr>
        <xdr:spPr bwMode="auto">
          <a:xfrm>
            <a:off x="0" y="31877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00" name="Rectangle 99">
            <a:extLst>
              <a:ext uri="{FF2B5EF4-FFF2-40B4-BE49-F238E27FC236}">
                <a16:creationId xmlns:a16="http://schemas.microsoft.com/office/drawing/2014/main" xmlns="" id="{00000000-0008-0000-0200-000064000000}"/>
              </a:ext>
            </a:extLst>
          </xdr:cNvPr>
          <xdr:cNvSpPr>
            <a:spLocks noChangeArrowheads="1"/>
          </xdr:cNvSpPr>
        </xdr:nvSpPr>
        <xdr:spPr bwMode="auto">
          <a:xfrm>
            <a:off x="2595245" y="33401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01" name="Rectangle 100">
            <a:extLst>
              <a:ext uri="{FF2B5EF4-FFF2-40B4-BE49-F238E27FC236}">
                <a16:creationId xmlns:a16="http://schemas.microsoft.com/office/drawing/2014/main" xmlns="" id="{00000000-0008-0000-0200-000065000000}"/>
              </a:ext>
            </a:extLst>
          </xdr:cNvPr>
          <xdr:cNvSpPr>
            <a:spLocks noChangeArrowheads="1"/>
          </xdr:cNvSpPr>
        </xdr:nvSpPr>
        <xdr:spPr bwMode="auto">
          <a:xfrm>
            <a:off x="2595245" y="33401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02" name="Rectangle 101">
            <a:extLst>
              <a:ext uri="{FF2B5EF4-FFF2-40B4-BE49-F238E27FC236}">
                <a16:creationId xmlns:a16="http://schemas.microsoft.com/office/drawing/2014/main" xmlns="" id="{00000000-0008-0000-0200-000066000000}"/>
              </a:ext>
            </a:extLst>
          </xdr:cNvPr>
          <xdr:cNvSpPr>
            <a:spLocks noChangeArrowheads="1"/>
          </xdr:cNvSpPr>
        </xdr:nvSpPr>
        <xdr:spPr bwMode="auto">
          <a:xfrm>
            <a:off x="2936240" y="1143000"/>
            <a:ext cx="721360"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03" name="Line 900">
            <a:extLst>
              <a:ext uri="{FF2B5EF4-FFF2-40B4-BE49-F238E27FC236}">
                <a16:creationId xmlns:a16="http://schemas.microsoft.com/office/drawing/2014/main" xmlns="" id="{00000000-0008-0000-0200-000067000000}"/>
              </a:ext>
            </a:extLst>
          </xdr:cNvPr>
          <xdr:cNvCxnSpPr/>
        </xdr:nvCxnSpPr>
        <xdr:spPr bwMode="auto">
          <a:xfrm>
            <a:off x="3829050" y="48704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4" name="Line 901">
            <a:extLst>
              <a:ext uri="{FF2B5EF4-FFF2-40B4-BE49-F238E27FC236}">
                <a16:creationId xmlns:a16="http://schemas.microsoft.com/office/drawing/2014/main" xmlns="" id="{00000000-0008-0000-0200-000068000000}"/>
              </a:ext>
            </a:extLst>
          </xdr:cNvPr>
          <xdr:cNvCxnSpPr/>
        </xdr:nvCxnSpPr>
        <xdr:spPr bwMode="auto">
          <a:xfrm flipH="1">
            <a:off x="3909060" y="125730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5" name="Freeform 902">
            <a:extLst>
              <a:ext uri="{FF2B5EF4-FFF2-40B4-BE49-F238E27FC236}">
                <a16:creationId xmlns:a16="http://schemas.microsoft.com/office/drawing/2014/main" xmlns="" id="{00000000-0008-0000-0200-000069000000}"/>
              </a:ext>
            </a:extLst>
          </xdr:cNvPr>
          <xdr:cNvSpPr>
            <a:spLocks/>
          </xdr:cNvSpPr>
        </xdr:nvSpPr>
        <xdr:spPr bwMode="auto">
          <a:xfrm>
            <a:off x="3829050" y="121158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6" name="Line 903">
            <a:extLst>
              <a:ext uri="{FF2B5EF4-FFF2-40B4-BE49-F238E27FC236}">
                <a16:creationId xmlns:a16="http://schemas.microsoft.com/office/drawing/2014/main" xmlns="" id="{00000000-0008-0000-0200-00006A000000}"/>
              </a:ext>
            </a:extLst>
          </xdr:cNvPr>
          <xdr:cNvCxnSpPr/>
        </xdr:nvCxnSpPr>
        <xdr:spPr bwMode="auto">
          <a:xfrm flipH="1">
            <a:off x="3909060" y="248793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7" name="Freeform 904">
            <a:extLst>
              <a:ext uri="{FF2B5EF4-FFF2-40B4-BE49-F238E27FC236}">
                <a16:creationId xmlns:a16="http://schemas.microsoft.com/office/drawing/2014/main" xmlns="" id="{00000000-0008-0000-0200-00006B000000}"/>
              </a:ext>
            </a:extLst>
          </xdr:cNvPr>
          <xdr:cNvSpPr>
            <a:spLocks/>
          </xdr:cNvSpPr>
        </xdr:nvSpPr>
        <xdr:spPr bwMode="auto">
          <a:xfrm>
            <a:off x="3829050" y="244157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8" name="Line 905">
            <a:extLst>
              <a:ext uri="{FF2B5EF4-FFF2-40B4-BE49-F238E27FC236}">
                <a16:creationId xmlns:a16="http://schemas.microsoft.com/office/drawing/2014/main" xmlns="" id="{00000000-0008-0000-0200-00006C000000}"/>
              </a:ext>
            </a:extLst>
          </xdr:cNvPr>
          <xdr:cNvCxnSpPr/>
        </xdr:nvCxnSpPr>
        <xdr:spPr bwMode="auto">
          <a:xfrm>
            <a:off x="3829050" y="171894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9" name="Line 906">
            <a:extLst>
              <a:ext uri="{FF2B5EF4-FFF2-40B4-BE49-F238E27FC236}">
                <a16:creationId xmlns:a16="http://schemas.microsoft.com/office/drawing/2014/main" xmlns="" id="{00000000-0008-0000-0200-00006D000000}"/>
              </a:ext>
            </a:extLst>
          </xdr:cNvPr>
          <xdr:cNvCxnSpPr/>
        </xdr:nvCxnSpPr>
        <xdr:spPr bwMode="auto">
          <a:xfrm flipH="1">
            <a:off x="1094105" y="110299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10" name="Oval 907">
            <a:extLst>
              <a:ext uri="{FF2B5EF4-FFF2-40B4-BE49-F238E27FC236}">
                <a16:creationId xmlns:a16="http://schemas.microsoft.com/office/drawing/2014/main" xmlns="" id="{00000000-0008-0000-0200-00006E000000}"/>
              </a:ext>
            </a:extLst>
          </xdr:cNvPr>
          <xdr:cNvSpPr>
            <a:spLocks noChangeArrowheads="1"/>
          </xdr:cNvSpPr>
        </xdr:nvSpPr>
        <xdr:spPr bwMode="auto">
          <a:xfrm>
            <a:off x="4895215" y="34671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11" name="Oval 908">
            <a:extLst>
              <a:ext uri="{FF2B5EF4-FFF2-40B4-BE49-F238E27FC236}">
                <a16:creationId xmlns:a16="http://schemas.microsoft.com/office/drawing/2014/main" xmlns="" id="{00000000-0008-0000-0200-00006F000000}"/>
              </a:ext>
            </a:extLst>
          </xdr:cNvPr>
          <xdr:cNvSpPr>
            <a:spLocks noChangeArrowheads="1"/>
          </xdr:cNvSpPr>
        </xdr:nvSpPr>
        <xdr:spPr bwMode="auto">
          <a:xfrm>
            <a:off x="4895215" y="34671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2" name="Rectangle 111">
            <a:extLst>
              <a:ext uri="{FF2B5EF4-FFF2-40B4-BE49-F238E27FC236}">
                <a16:creationId xmlns:a16="http://schemas.microsoft.com/office/drawing/2014/main" xmlns="" id="{00000000-0008-0000-0200-000070000000}"/>
              </a:ext>
            </a:extLst>
          </xdr:cNvPr>
          <xdr:cNvSpPr>
            <a:spLocks noChangeArrowheads="1"/>
          </xdr:cNvSpPr>
        </xdr:nvSpPr>
        <xdr:spPr bwMode="auto">
          <a:xfrm>
            <a:off x="4984750" y="38862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3" name="Rectangle 112">
            <a:extLst>
              <a:ext uri="{FF2B5EF4-FFF2-40B4-BE49-F238E27FC236}">
                <a16:creationId xmlns:a16="http://schemas.microsoft.com/office/drawing/2014/main" xmlns="" id="{00000000-0008-0000-0200-000071000000}"/>
              </a:ext>
            </a:extLst>
          </xdr:cNvPr>
          <xdr:cNvSpPr>
            <a:spLocks noChangeArrowheads="1"/>
          </xdr:cNvSpPr>
        </xdr:nvSpPr>
        <xdr:spPr bwMode="auto">
          <a:xfrm>
            <a:off x="15240" y="94869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4" name="Rectangle 113">
            <a:extLst>
              <a:ext uri="{FF2B5EF4-FFF2-40B4-BE49-F238E27FC236}">
                <a16:creationId xmlns:a16="http://schemas.microsoft.com/office/drawing/2014/main" xmlns="" id="{00000000-0008-0000-0200-000072000000}"/>
              </a:ext>
            </a:extLst>
          </xdr:cNvPr>
          <xdr:cNvSpPr>
            <a:spLocks noChangeArrowheads="1"/>
          </xdr:cNvSpPr>
        </xdr:nvSpPr>
        <xdr:spPr bwMode="auto">
          <a:xfrm>
            <a:off x="15240" y="94869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5" name="Rectangle 114">
            <a:extLst>
              <a:ext uri="{FF2B5EF4-FFF2-40B4-BE49-F238E27FC236}">
                <a16:creationId xmlns:a16="http://schemas.microsoft.com/office/drawing/2014/main" xmlns="" id="{00000000-0008-0000-0200-000073000000}"/>
              </a:ext>
            </a:extLst>
          </xdr:cNvPr>
          <xdr:cNvSpPr>
            <a:spLocks noChangeArrowheads="1"/>
          </xdr:cNvSpPr>
        </xdr:nvSpPr>
        <xdr:spPr bwMode="auto">
          <a:xfrm>
            <a:off x="187960" y="132969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6" name="Rectangle 115">
            <a:extLst>
              <a:ext uri="{FF2B5EF4-FFF2-40B4-BE49-F238E27FC236}">
                <a16:creationId xmlns:a16="http://schemas.microsoft.com/office/drawing/2014/main" xmlns="" id="{00000000-0008-0000-0200-000074000000}"/>
              </a:ext>
            </a:extLst>
          </xdr:cNvPr>
          <xdr:cNvSpPr>
            <a:spLocks noChangeArrowheads="1"/>
          </xdr:cNvSpPr>
        </xdr:nvSpPr>
        <xdr:spPr bwMode="auto">
          <a:xfrm>
            <a:off x="5386070" y="33401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7" name="Rectangle 116">
            <a:extLst>
              <a:ext uri="{FF2B5EF4-FFF2-40B4-BE49-F238E27FC236}">
                <a16:creationId xmlns:a16="http://schemas.microsoft.com/office/drawing/2014/main" xmlns="" id="{00000000-0008-0000-0200-000075000000}"/>
              </a:ext>
            </a:extLst>
          </xdr:cNvPr>
          <xdr:cNvSpPr>
            <a:spLocks noChangeArrowheads="1"/>
          </xdr:cNvSpPr>
        </xdr:nvSpPr>
        <xdr:spPr bwMode="auto">
          <a:xfrm>
            <a:off x="5386070" y="33401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8" name="Rectangle 117">
            <a:extLst>
              <a:ext uri="{FF2B5EF4-FFF2-40B4-BE49-F238E27FC236}">
                <a16:creationId xmlns:a16="http://schemas.microsoft.com/office/drawing/2014/main" xmlns="" id="{00000000-0008-0000-0200-000076000000}"/>
              </a:ext>
            </a:extLst>
          </xdr:cNvPr>
          <xdr:cNvSpPr>
            <a:spLocks noChangeArrowheads="1"/>
          </xdr:cNvSpPr>
        </xdr:nvSpPr>
        <xdr:spPr bwMode="auto">
          <a:xfrm>
            <a:off x="5768340" y="77406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9" name="Rectangle 118">
            <a:extLst>
              <a:ext uri="{FF2B5EF4-FFF2-40B4-BE49-F238E27FC236}">
                <a16:creationId xmlns:a16="http://schemas.microsoft.com/office/drawing/2014/main" xmlns="" id="{00000000-0008-0000-0200-000077000000}"/>
              </a:ext>
            </a:extLst>
          </xdr:cNvPr>
          <xdr:cNvSpPr>
            <a:spLocks noChangeArrowheads="1"/>
          </xdr:cNvSpPr>
        </xdr:nvSpPr>
        <xdr:spPr bwMode="auto">
          <a:xfrm>
            <a:off x="5386070" y="156464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20" name="Rectangle 119">
            <a:extLst>
              <a:ext uri="{FF2B5EF4-FFF2-40B4-BE49-F238E27FC236}">
                <a16:creationId xmlns:a16="http://schemas.microsoft.com/office/drawing/2014/main" xmlns="" id="{00000000-0008-0000-0200-000078000000}"/>
              </a:ext>
            </a:extLst>
          </xdr:cNvPr>
          <xdr:cNvSpPr>
            <a:spLocks noChangeArrowheads="1"/>
          </xdr:cNvSpPr>
        </xdr:nvSpPr>
        <xdr:spPr bwMode="auto">
          <a:xfrm>
            <a:off x="5386070" y="156464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1" name="Rectangle 120">
            <a:extLst>
              <a:ext uri="{FF2B5EF4-FFF2-40B4-BE49-F238E27FC236}">
                <a16:creationId xmlns:a16="http://schemas.microsoft.com/office/drawing/2014/main" xmlns="" id="{00000000-0008-0000-0200-000079000000}"/>
              </a:ext>
            </a:extLst>
          </xdr:cNvPr>
          <xdr:cNvSpPr>
            <a:spLocks noChangeArrowheads="1"/>
          </xdr:cNvSpPr>
        </xdr:nvSpPr>
        <xdr:spPr bwMode="auto">
          <a:xfrm>
            <a:off x="5438775" y="200279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22" name="Line 919">
            <a:extLst>
              <a:ext uri="{FF2B5EF4-FFF2-40B4-BE49-F238E27FC236}">
                <a16:creationId xmlns:a16="http://schemas.microsoft.com/office/drawing/2014/main" xmlns="" id="{00000000-0008-0000-0200-00007A000000}"/>
              </a:ext>
            </a:extLst>
          </xdr:cNvPr>
          <xdr:cNvCxnSpPr/>
        </xdr:nvCxnSpPr>
        <xdr:spPr bwMode="auto">
          <a:xfrm>
            <a:off x="1094105" y="187198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23" name="Freeform 920">
            <a:extLst>
              <a:ext uri="{FF2B5EF4-FFF2-40B4-BE49-F238E27FC236}">
                <a16:creationId xmlns:a16="http://schemas.microsoft.com/office/drawing/2014/main" xmlns="" id="{00000000-0008-0000-0200-00007B000000}"/>
              </a:ext>
            </a:extLst>
          </xdr:cNvPr>
          <xdr:cNvSpPr>
            <a:spLocks/>
          </xdr:cNvSpPr>
        </xdr:nvSpPr>
        <xdr:spPr bwMode="auto">
          <a:xfrm>
            <a:off x="2503805" y="182753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24" name="Oval 921">
            <a:extLst>
              <a:ext uri="{FF2B5EF4-FFF2-40B4-BE49-F238E27FC236}">
                <a16:creationId xmlns:a16="http://schemas.microsoft.com/office/drawing/2014/main" xmlns="" id="{00000000-0008-0000-0200-00007C000000}"/>
              </a:ext>
            </a:extLst>
          </xdr:cNvPr>
          <xdr:cNvSpPr>
            <a:spLocks noChangeArrowheads="1"/>
          </xdr:cNvSpPr>
        </xdr:nvSpPr>
        <xdr:spPr bwMode="auto">
          <a:xfrm>
            <a:off x="2009775" y="96393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5" name="Oval 922">
            <a:extLst>
              <a:ext uri="{FF2B5EF4-FFF2-40B4-BE49-F238E27FC236}">
                <a16:creationId xmlns:a16="http://schemas.microsoft.com/office/drawing/2014/main" xmlns="" id="{00000000-0008-0000-0200-00007D000000}"/>
              </a:ext>
            </a:extLst>
          </xdr:cNvPr>
          <xdr:cNvSpPr>
            <a:spLocks noChangeArrowheads="1"/>
          </xdr:cNvSpPr>
        </xdr:nvSpPr>
        <xdr:spPr bwMode="auto">
          <a:xfrm>
            <a:off x="2009775" y="96393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6" name="Rectangle 125">
            <a:extLst>
              <a:ext uri="{FF2B5EF4-FFF2-40B4-BE49-F238E27FC236}">
                <a16:creationId xmlns:a16="http://schemas.microsoft.com/office/drawing/2014/main" xmlns="" id="{00000000-0008-0000-0200-00007E000000}"/>
              </a:ext>
            </a:extLst>
          </xdr:cNvPr>
          <xdr:cNvSpPr>
            <a:spLocks noChangeArrowheads="1"/>
          </xdr:cNvSpPr>
        </xdr:nvSpPr>
        <xdr:spPr bwMode="auto">
          <a:xfrm>
            <a:off x="2096770" y="101028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27" name="Oval 924">
            <a:extLst>
              <a:ext uri="{FF2B5EF4-FFF2-40B4-BE49-F238E27FC236}">
                <a16:creationId xmlns:a16="http://schemas.microsoft.com/office/drawing/2014/main" xmlns="" id="{00000000-0008-0000-0200-00007F000000}"/>
              </a:ext>
            </a:extLst>
          </xdr:cNvPr>
          <xdr:cNvSpPr>
            <a:spLocks noChangeArrowheads="1"/>
          </xdr:cNvSpPr>
        </xdr:nvSpPr>
        <xdr:spPr bwMode="auto">
          <a:xfrm>
            <a:off x="4895215" y="157734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8" name="Oval 925">
            <a:extLst>
              <a:ext uri="{FF2B5EF4-FFF2-40B4-BE49-F238E27FC236}">
                <a16:creationId xmlns:a16="http://schemas.microsoft.com/office/drawing/2014/main" xmlns="" id="{00000000-0008-0000-0200-000080000000}"/>
              </a:ext>
            </a:extLst>
          </xdr:cNvPr>
          <xdr:cNvSpPr>
            <a:spLocks noChangeArrowheads="1"/>
          </xdr:cNvSpPr>
        </xdr:nvSpPr>
        <xdr:spPr bwMode="auto">
          <a:xfrm>
            <a:off x="4907915" y="157734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9" name="Rectangle 128">
            <a:extLst>
              <a:ext uri="{FF2B5EF4-FFF2-40B4-BE49-F238E27FC236}">
                <a16:creationId xmlns:a16="http://schemas.microsoft.com/office/drawing/2014/main" xmlns="" id="{00000000-0008-0000-0200-000081000000}"/>
              </a:ext>
            </a:extLst>
          </xdr:cNvPr>
          <xdr:cNvSpPr>
            <a:spLocks noChangeArrowheads="1"/>
          </xdr:cNvSpPr>
        </xdr:nvSpPr>
        <xdr:spPr bwMode="auto">
          <a:xfrm>
            <a:off x="4984750" y="161798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0" name="Freeform 928">
            <a:extLst>
              <a:ext uri="{FF2B5EF4-FFF2-40B4-BE49-F238E27FC236}">
                <a16:creationId xmlns:a16="http://schemas.microsoft.com/office/drawing/2014/main" xmlns="" id="{00000000-0008-0000-0200-000082000000}"/>
              </a:ext>
            </a:extLst>
          </xdr:cNvPr>
          <xdr:cNvSpPr>
            <a:spLocks/>
          </xdr:cNvSpPr>
        </xdr:nvSpPr>
        <xdr:spPr bwMode="auto">
          <a:xfrm>
            <a:off x="1178560" y="1398905"/>
            <a:ext cx="553720" cy="21907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1" name="Rectangle 130">
            <a:extLst>
              <a:ext uri="{FF2B5EF4-FFF2-40B4-BE49-F238E27FC236}">
                <a16:creationId xmlns:a16="http://schemas.microsoft.com/office/drawing/2014/main" xmlns="" id="{00000000-0008-0000-0200-000083000000}"/>
              </a:ext>
            </a:extLst>
          </xdr:cNvPr>
          <xdr:cNvSpPr>
            <a:spLocks noChangeArrowheads="1"/>
          </xdr:cNvSpPr>
        </xdr:nvSpPr>
        <xdr:spPr bwMode="auto">
          <a:xfrm>
            <a:off x="1280795" y="1425574"/>
            <a:ext cx="365125"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2" name="Freeform 930">
            <a:extLst>
              <a:ext uri="{FF2B5EF4-FFF2-40B4-BE49-F238E27FC236}">
                <a16:creationId xmlns:a16="http://schemas.microsoft.com/office/drawing/2014/main" xmlns="" id="{00000000-0008-0000-0200-000084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3" name="Freeform 931">
            <a:extLst>
              <a:ext uri="{FF2B5EF4-FFF2-40B4-BE49-F238E27FC236}">
                <a16:creationId xmlns:a16="http://schemas.microsoft.com/office/drawing/2014/main" xmlns="" id="{00000000-0008-0000-0200-000085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4" name="Rectangle 133">
            <a:extLst>
              <a:ext uri="{FF2B5EF4-FFF2-40B4-BE49-F238E27FC236}">
                <a16:creationId xmlns:a16="http://schemas.microsoft.com/office/drawing/2014/main" xmlns="" id="{00000000-0008-0000-0200-000086000000}"/>
              </a:ext>
            </a:extLst>
          </xdr:cNvPr>
          <xdr:cNvSpPr>
            <a:spLocks noChangeArrowheads="1"/>
          </xdr:cNvSpPr>
        </xdr:nvSpPr>
        <xdr:spPr bwMode="auto">
          <a:xfrm>
            <a:off x="4182745" y="2036445"/>
            <a:ext cx="340995" cy="120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5" name="Freeform 933">
            <a:extLst>
              <a:ext uri="{FF2B5EF4-FFF2-40B4-BE49-F238E27FC236}">
                <a16:creationId xmlns:a16="http://schemas.microsoft.com/office/drawing/2014/main" xmlns="" id="{00000000-0008-0000-0200-000087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6" name="Freeform 934">
            <a:extLst>
              <a:ext uri="{FF2B5EF4-FFF2-40B4-BE49-F238E27FC236}">
                <a16:creationId xmlns:a16="http://schemas.microsoft.com/office/drawing/2014/main" xmlns="" id="{00000000-0008-0000-0200-000088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7" name="Rectangle 136">
            <a:extLst>
              <a:ext uri="{FF2B5EF4-FFF2-40B4-BE49-F238E27FC236}">
                <a16:creationId xmlns:a16="http://schemas.microsoft.com/office/drawing/2014/main" xmlns="" id="{00000000-0008-0000-0200-000089000000}"/>
              </a:ext>
            </a:extLst>
          </xdr:cNvPr>
          <xdr:cNvSpPr>
            <a:spLocks noChangeArrowheads="1"/>
          </xdr:cNvSpPr>
        </xdr:nvSpPr>
        <xdr:spPr bwMode="auto">
          <a:xfrm>
            <a:off x="4182745" y="807084"/>
            <a:ext cx="366395" cy="13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8" name="Oval 936">
            <a:extLst>
              <a:ext uri="{FF2B5EF4-FFF2-40B4-BE49-F238E27FC236}">
                <a16:creationId xmlns:a16="http://schemas.microsoft.com/office/drawing/2014/main" xmlns="" id="{00000000-0008-0000-0200-00008A000000}"/>
              </a:ext>
            </a:extLst>
          </xdr:cNvPr>
          <xdr:cNvSpPr>
            <a:spLocks noChangeArrowheads="1"/>
          </xdr:cNvSpPr>
        </xdr:nvSpPr>
        <xdr:spPr bwMode="auto">
          <a:xfrm>
            <a:off x="3992880" y="5645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39" name="Oval 937">
            <a:extLst>
              <a:ext uri="{FF2B5EF4-FFF2-40B4-BE49-F238E27FC236}">
                <a16:creationId xmlns:a16="http://schemas.microsoft.com/office/drawing/2014/main" xmlns="" id="{00000000-0008-0000-0200-00008B000000}"/>
              </a:ext>
            </a:extLst>
          </xdr:cNvPr>
          <xdr:cNvSpPr>
            <a:spLocks noChangeArrowheads="1"/>
          </xdr:cNvSpPr>
        </xdr:nvSpPr>
        <xdr:spPr bwMode="auto">
          <a:xfrm>
            <a:off x="3992880" y="5645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40" name="Rectangle 139">
            <a:extLst>
              <a:ext uri="{FF2B5EF4-FFF2-40B4-BE49-F238E27FC236}">
                <a16:creationId xmlns:a16="http://schemas.microsoft.com/office/drawing/2014/main" xmlns="" id="{00000000-0008-0000-0200-00008C000000}"/>
              </a:ext>
            </a:extLst>
          </xdr:cNvPr>
          <xdr:cNvSpPr>
            <a:spLocks noChangeArrowheads="1"/>
          </xdr:cNvSpPr>
        </xdr:nvSpPr>
        <xdr:spPr bwMode="auto">
          <a:xfrm>
            <a:off x="4036060" y="57912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41" name="Line 939">
            <a:extLst>
              <a:ext uri="{FF2B5EF4-FFF2-40B4-BE49-F238E27FC236}">
                <a16:creationId xmlns:a16="http://schemas.microsoft.com/office/drawing/2014/main" xmlns="" id="{00000000-0008-0000-0200-00008D000000}"/>
              </a:ext>
            </a:extLst>
          </xdr:cNvPr>
          <xdr:cNvCxnSpPr/>
        </xdr:nvCxnSpPr>
        <xdr:spPr bwMode="auto">
          <a:xfrm flipV="1">
            <a:off x="4300855" y="48704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2" name="Line 940">
            <a:extLst>
              <a:ext uri="{FF2B5EF4-FFF2-40B4-BE49-F238E27FC236}">
                <a16:creationId xmlns:a16="http://schemas.microsoft.com/office/drawing/2014/main" xmlns="" id="{00000000-0008-0000-0200-00008E000000}"/>
              </a:ext>
            </a:extLst>
          </xdr:cNvPr>
          <xdr:cNvCxnSpPr/>
        </xdr:nvCxnSpPr>
        <xdr:spPr bwMode="auto">
          <a:xfrm>
            <a:off x="4300855" y="96202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3" name="Line 941">
            <a:extLst>
              <a:ext uri="{FF2B5EF4-FFF2-40B4-BE49-F238E27FC236}">
                <a16:creationId xmlns:a16="http://schemas.microsoft.com/office/drawing/2014/main" xmlns="" id="{00000000-0008-0000-0200-00008F000000}"/>
              </a:ext>
            </a:extLst>
          </xdr:cNvPr>
          <xdr:cNvCxnSpPr/>
        </xdr:nvCxnSpPr>
        <xdr:spPr bwMode="auto">
          <a:xfrm>
            <a:off x="4300855" y="171894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4" name="Line 942">
            <a:extLst>
              <a:ext uri="{FF2B5EF4-FFF2-40B4-BE49-F238E27FC236}">
                <a16:creationId xmlns:a16="http://schemas.microsoft.com/office/drawing/2014/main" xmlns="" id="{00000000-0008-0000-0200-000090000000}"/>
              </a:ext>
            </a:extLst>
          </xdr:cNvPr>
          <xdr:cNvCxnSpPr/>
        </xdr:nvCxnSpPr>
        <xdr:spPr bwMode="auto">
          <a:xfrm>
            <a:off x="4300855" y="219138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5" name="Line 943">
            <a:extLst>
              <a:ext uri="{FF2B5EF4-FFF2-40B4-BE49-F238E27FC236}">
                <a16:creationId xmlns:a16="http://schemas.microsoft.com/office/drawing/2014/main" xmlns="" id="{00000000-0008-0000-0200-000091000000}"/>
              </a:ext>
            </a:extLst>
          </xdr:cNvPr>
          <xdr:cNvCxnSpPr/>
        </xdr:nvCxnSpPr>
        <xdr:spPr bwMode="auto">
          <a:xfrm flipV="1">
            <a:off x="1402715" y="157734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6" name="Line 944">
            <a:extLst>
              <a:ext uri="{FF2B5EF4-FFF2-40B4-BE49-F238E27FC236}">
                <a16:creationId xmlns:a16="http://schemas.microsoft.com/office/drawing/2014/main" xmlns="" id="{00000000-0008-0000-0200-000092000000}"/>
              </a:ext>
            </a:extLst>
          </xdr:cNvPr>
          <xdr:cNvCxnSpPr/>
        </xdr:nvCxnSpPr>
        <xdr:spPr bwMode="auto">
          <a:xfrm flipV="1">
            <a:off x="1402715" y="110299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7" name="Line 945">
            <a:extLst>
              <a:ext uri="{FF2B5EF4-FFF2-40B4-BE49-F238E27FC236}">
                <a16:creationId xmlns:a16="http://schemas.microsoft.com/office/drawing/2014/main" xmlns="" id="{00000000-0008-0000-0200-000093000000}"/>
              </a:ext>
            </a:extLst>
          </xdr:cNvPr>
          <xdr:cNvCxnSpPr/>
        </xdr:nvCxnSpPr>
        <xdr:spPr bwMode="auto">
          <a:xfrm flipH="1">
            <a:off x="4154171" y="233426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8" name="Line 946">
            <a:extLst>
              <a:ext uri="{FF2B5EF4-FFF2-40B4-BE49-F238E27FC236}">
                <a16:creationId xmlns:a16="http://schemas.microsoft.com/office/drawing/2014/main" xmlns="" id="{00000000-0008-0000-0200-000094000000}"/>
              </a:ext>
            </a:extLst>
          </xdr:cNvPr>
          <xdr:cNvCxnSpPr/>
        </xdr:nvCxnSpPr>
        <xdr:spPr bwMode="auto">
          <a:xfrm flipH="1">
            <a:off x="4161791" y="187198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9" name="Line 947">
            <a:extLst>
              <a:ext uri="{FF2B5EF4-FFF2-40B4-BE49-F238E27FC236}">
                <a16:creationId xmlns:a16="http://schemas.microsoft.com/office/drawing/2014/main" xmlns="" id="{00000000-0008-0000-0200-000095000000}"/>
              </a:ext>
            </a:extLst>
          </xdr:cNvPr>
          <xdr:cNvCxnSpPr/>
        </xdr:nvCxnSpPr>
        <xdr:spPr bwMode="auto">
          <a:xfrm flipH="1">
            <a:off x="4146551" y="110299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0" name="Line 948">
            <a:extLst>
              <a:ext uri="{FF2B5EF4-FFF2-40B4-BE49-F238E27FC236}">
                <a16:creationId xmlns:a16="http://schemas.microsoft.com/office/drawing/2014/main" xmlns="" id="{00000000-0008-0000-0200-000096000000}"/>
              </a:ext>
            </a:extLst>
          </xdr:cNvPr>
          <xdr:cNvCxnSpPr/>
        </xdr:nvCxnSpPr>
        <xdr:spPr bwMode="auto">
          <a:xfrm flipH="1">
            <a:off x="4161791" y="64071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1" name="Line 949">
            <a:extLst>
              <a:ext uri="{FF2B5EF4-FFF2-40B4-BE49-F238E27FC236}">
                <a16:creationId xmlns:a16="http://schemas.microsoft.com/office/drawing/2014/main" xmlns="" id="{00000000-0008-0000-0200-000097000000}"/>
              </a:ext>
            </a:extLst>
          </xdr:cNvPr>
          <xdr:cNvCxnSpPr/>
        </xdr:nvCxnSpPr>
        <xdr:spPr bwMode="auto">
          <a:xfrm>
            <a:off x="1402715" y="125730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2" name="Line 950">
            <a:extLst>
              <a:ext uri="{FF2B5EF4-FFF2-40B4-BE49-F238E27FC236}">
                <a16:creationId xmlns:a16="http://schemas.microsoft.com/office/drawing/2014/main" xmlns="" id="{00000000-0008-0000-0200-000098000000}"/>
              </a:ext>
            </a:extLst>
          </xdr:cNvPr>
          <xdr:cNvCxnSpPr/>
        </xdr:nvCxnSpPr>
        <xdr:spPr bwMode="auto">
          <a:xfrm>
            <a:off x="1402715" y="171894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153" name="Oval 951">
            <a:extLst>
              <a:ext uri="{FF2B5EF4-FFF2-40B4-BE49-F238E27FC236}">
                <a16:creationId xmlns:a16="http://schemas.microsoft.com/office/drawing/2014/main" xmlns="" id="{00000000-0008-0000-0200-000099000000}"/>
              </a:ext>
            </a:extLst>
          </xdr:cNvPr>
          <xdr:cNvSpPr>
            <a:spLocks noChangeArrowheads="1"/>
          </xdr:cNvSpPr>
        </xdr:nvSpPr>
        <xdr:spPr bwMode="auto">
          <a:xfrm>
            <a:off x="3992880" y="102616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4" name="Oval 952">
            <a:extLst>
              <a:ext uri="{FF2B5EF4-FFF2-40B4-BE49-F238E27FC236}">
                <a16:creationId xmlns:a16="http://schemas.microsoft.com/office/drawing/2014/main" xmlns="" id="{00000000-0008-0000-0200-00009A000000}"/>
              </a:ext>
            </a:extLst>
          </xdr:cNvPr>
          <xdr:cNvSpPr>
            <a:spLocks noChangeArrowheads="1"/>
          </xdr:cNvSpPr>
        </xdr:nvSpPr>
        <xdr:spPr bwMode="auto">
          <a:xfrm>
            <a:off x="3992880" y="102616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5" name="Rectangle 154">
            <a:extLst>
              <a:ext uri="{FF2B5EF4-FFF2-40B4-BE49-F238E27FC236}">
                <a16:creationId xmlns:a16="http://schemas.microsoft.com/office/drawing/2014/main" xmlns="" id="{00000000-0008-0000-0200-00009B000000}"/>
              </a:ext>
            </a:extLst>
          </xdr:cNvPr>
          <xdr:cNvSpPr>
            <a:spLocks noChangeArrowheads="1"/>
          </xdr:cNvSpPr>
        </xdr:nvSpPr>
        <xdr:spPr bwMode="auto">
          <a:xfrm>
            <a:off x="4036060" y="10337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6" name="Oval 954">
            <a:extLst>
              <a:ext uri="{FF2B5EF4-FFF2-40B4-BE49-F238E27FC236}">
                <a16:creationId xmlns:a16="http://schemas.microsoft.com/office/drawing/2014/main" xmlns="" id="{00000000-0008-0000-0200-00009C000000}"/>
              </a:ext>
            </a:extLst>
          </xdr:cNvPr>
          <xdr:cNvSpPr>
            <a:spLocks noChangeArrowheads="1"/>
          </xdr:cNvSpPr>
        </xdr:nvSpPr>
        <xdr:spPr bwMode="auto">
          <a:xfrm>
            <a:off x="1556385" y="164084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7" name="Oval 955">
            <a:extLst>
              <a:ext uri="{FF2B5EF4-FFF2-40B4-BE49-F238E27FC236}">
                <a16:creationId xmlns:a16="http://schemas.microsoft.com/office/drawing/2014/main" xmlns="" id="{00000000-0008-0000-0200-00009D000000}"/>
              </a:ext>
            </a:extLst>
          </xdr:cNvPr>
          <xdr:cNvSpPr>
            <a:spLocks noChangeArrowheads="1"/>
          </xdr:cNvSpPr>
        </xdr:nvSpPr>
        <xdr:spPr bwMode="auto">
          <a:xfrm>
            <a:off x="1556385" y="164084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8" name="Rectangle 157">
            <a:extLst>
              <a:ext uri="{FF2B5EF4-FFF2-40B4-BE49-F238E27FC236}">
                <a16:creationId xmlns:a16="http://schemas.microsoft.com/office/drawing/2014/main" xmlns="" id="{00000000-0008-0000-0200-00009E000000}"/>
              </a:ext>
            </a:extLst>
          </xdr:cNvPr>
          <xdr:cNvSpPr>
            <a:spLocks noChangeArrowheads="1"/>
          </xdr:cNvSpPr>
        </xdr:nvSpPr>
        <xdr:spPr bwMode="auto">
          <a:xfrm>
            <a:off x="1598295" y="165417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9" name="Oval 957">
            <a:extLst>
              <a:ext uri="{FF2B5EF4-FFF2-40B4-BE49-F238E27FC236}">
                <a16:creationId xmlns:a16="http://schemas.microsoft.com/office/drawing/2014/main" xmlns="" id="{00000000-0008-0000-0200-00009F000000}"/>
              </a:ext>
            </a:extLst>
          </xdr:cNvPr>
          <xdr:cNvSpPr>
            <a:spLocks noChangeArrowheads="1"/>
          </xdr:cNvSpPr>
        </xdr:nvSpPr>
        <xdr:spPr bwMode="auto">
          <a:xfrm>
            <a:off x="1556385" y="117919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0" name="Oval 958">
            <a:extLst>
              <a:ext uri="{FF2B5EF4-FFF2-40B4-BE49-F238E27FC236}">
                <a16:creationId xmlns:a16="http://schemas.microsoft.com/office/drawing/2014/main" xmlns="" id="{00000000-0008-0000-0200-0000A0000000}"/>
              </a:ext>
            </a:extLst>
          </xdr:cNvPr>
          <xdr:cNvSpPr>
            <a:spLocks noChangeArrowheads="1"/>
          </xdr:cNvSpPr>
        </xdr:nvSpPr>
        <xdr:spPr bwMode="auto">
          <a:xfrm>
            <a:off x="1556385" y="117919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1" name="Rectangle 160">
            <a:extLst>
              <a:ext uri="{FF2B5EF4-FFF2-40B4-BE49-F238E27FC236}">
                <a16:creationId xmlns:a16="http://schemas.microsoft.com/office/drawing/2014/main" xmlns="" id="{00000000-0008-0000-0200-0000A1000000}"/>
              </a:ext>
            </a:extLst>
          </xdr:cNvPr>
          <xdr:cNvSpPr>
            <a:spLocks noChangeArrowheads="1"/>
          </xdr:cNvSpPr>
        </xdr:nvSpPr>
        <xdr:spPr bwMode="auto">
          <a:xfrm>
            <a:off x="1598295" y="118935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2" name="Oval 960">
            <a:extLst>
              <a:ext uri="{FF2B5EF4-FFF2-40B4-BE49-F238E27FC236}">
                <a16:creationId xmlns:a16="http://schemas.microsoft.com/office/drawing/2014/main" xmlns="" id="{00000000-0008-0000-0200-0000A2000000}"/>
              </a:ext>
            </a:extLst>
          </xdr:cNvPr>
          <xdr:cNvSpPr>
            <a:spLocks noChangeArrowheads="1"/>
          </xdr:cNvSpPr>
        </xdr:nvSpPr>
        <xdr:spPr bwMode="auto">
          <a:xfrm>
            <a:off x="3992880" y="225742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3" name="Oval 961">
            <a:extLst>
              <a:ext uri="{FF2B5EF4-FFF2-40B4-BE49-F238E27FC236}">
                <a16:creationId xmlns:a16="http://schemas.microsoft.com/office/drawing/2014/main" xmlns="" id="{00000000-0008-0000-0200-0000A3000000}"/>
              </a:ext>
            </a:extLst>
          </xdr:cNvPr>
          <xdr:cNvSpPr>
            <a:spLocks noChangeArrowheads="1"/>
          </xdr:cNvSpPr>
        </xdr:nvSpPr>
        <xdr:spPr bwMode="auto">
          <a:xfrm>
            <a:off x="3992880" y="225742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4" name="Rectangle 163">
            <a:extLst>
              <a:ext uri="{FF2B5EF4-FFF2-40B4-BE49-F238E27FC236}">
                <a16:creationId xmlns:a16="http://schemas.microsoft.com/office/drawing/2014/main" xmlns="" id="{00000000-0008-0000-0200-0000A4000000}"/>
              </a:ext>
            </a:extLst>
          </xdr:cNvPr>
          <xdr:cNvSpPr>
            <a:spLocks noChangeArrowheads="1"/>
          </xdr:cNvSpPr>
        </xdr:nvSpPr>
        <xdr:spPr bwMode="auto">
          <a:xfrm>
            <a:off x="4036060" y="226314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5" name="Oval 963">
            <a:extLst>
              <a:ext uri="{FF2B5EF4-FFF2-40B4-BE49-F238E27FC236}">
                <a16:creationId xmlns:a16="http://schemas.microsoft.com/office/drawing/2014/main" xmlns="" id="{00000000-0008-0000-0200-0000A5000000}"/>
              </a:ext>
            </a:extLst>
          </xdr:cNvPr>
          <xdr:cNvSpPr>
            <a:spLocks noChangeArrowheads="1"/>
          </xdr:cNvSpPr>
        </xdr:nvSpPr>
        <xdr:spPr bwMode="auto">
          <a:xfrm>
            <a:off x="3992880" y="179578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6" name="Oval 964">
            <a:extLst>
              <a:ext uri="{FF2B5EF4-FFF2-40B4-BE49-F238E27FC236}">
                <a16:creationId xmlns:a16="http://schemas.microsoft.com/office/drawing/2014/main" xmlns="" id="{00000000-0008-0000-0200-0000A6000000}"/>
              </a:ext>
            </a:extLst>
          </xdr:cNvPr>
          <xdr:cNvSpPr>
            <a:spLocks noChangeArrowheads="1"/>
          </xdr:cNvSpPr>
        </xdr:nvSpPr>
        <xdr:spPr bwMode="auto">
          <a:xfrm>
            <a:off x="3992880" y="179578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7" name="Rectangle 166">
            <a:extLst>
              <a:ext uri="{FF2B5EF4-FFF2-40B4-BE49-F238E27FC236}">
                <a16:creationId xmlns:a16="http://schemas.microsoft.com/office/drawing/2014/main" xmlns="" id="{00000000-0008-0000-0200-0000A7000000}"/>
              </a:ext>
            </a:extLst>
          </xdr:cNvPr>
          <xdr:cNvSpPr>
            <a:spLocks noChangeArrowheads="1"/>
          </xdr:cNvSpPr>
        </xdr:nvSpPr>
        <xdr:spPr bwMode="auto">
          <a:xfrm>
            <a:off x="4036060" y="18084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8" name="Freeform 966">
            <a:extLst>
              <a:ext uri="{FF2B5EF4-FFF2-40B4-BE49-F238E27FC236}">
                <a16:creationId xmlns:a16="http://schemas.microsoft.com/office/drawing/2014/main" xmlns="" id="{00000000-0008-0000-0200-0000A8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69" name="Freeform 967">
            <a:extLst>
              <a:ext uri="{FF2B5EF4-FFF2-40B4-BE49-F238E27FC236}">
                <a16:creationId xmlns:a16="http://schemas.microsoft.com/office/drawing/2014/main" xmlns="" id="{00000000-0008-0000-0200-0000A9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0" name="Rectangle 169">
            <a:extLst>
              <a:ext uri="{FF2B5EF4-FFF2-40B4-BE49-F238E27FC236}">
                <a16:creationId xmlns:a16="http://schemas.microsoft.com/office/drawing/2014/main" xmlns="" id="{00000000-0008-0000-0200-0000AA000000}"/>
              </a:ext>
            </a:extLst>
          </xdr:cNvPr>
          <xdr:cNvSpPr>
            <a:spLocks noChangeArrowheads="1"/>
          </xdr:cNvSpPr>
        </xdr:nvSpPr>
        <xdr:spPr bwMode="auto">
          <a:xfrm>
            <a:off x="4918074" y="804545"/>
            <a:ext cx="499745" cy="132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CE5</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1" name="Freeform 969">
            <a:extLst>
              <a:ext uri="{FF2B5EF4-FFF2-40B4-BE49-F238E27FC236}">
                <a16:creationId xmlns:a16="http://schemas.microsoft.com/office/drawing/2014/main" xmlns="" id="{00000000-0008-0000-0200-0000AB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2" name="Freeform 970">
            <a:extLst>
              <a:ext uri="{FF2B5EF4-FFF2-40B4-BE49-F238E27FC236}">
                <a16:creationId xmlns:a16="http://schemas.microsoft.com/office/drawing/2014/main" xmlns="" id="{00000000-0008-0000-0200-0000AC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3" name="Rectangle 172">
            <a:extLst>
              <a:ext uri="{FF2B5EF4-FFF2-40B4-BE49-F238E27FC236}">
                <a16:creationId xmlns:a16="http://schemas.microsoft.com/office/drawing/2014/main" xmlns="" id="{00000000-0008-0000-0200-0000AD000000}"/>
              </a:ext>
            </a:extLst>
          </xdr:cNvPr>
          <xdr:cNvSpPr>
            <a:spLocks noChangeArrowheads="1"/>
          </xdr:cNvSpPr>
        </xdr:nvSpPr>
        <xdr:spPr bwMode="auto">
          <a:xfrm>
            <a:off x="4926964" y="2033905"/>
            <a:ext cx="536576" cy="17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4" name="Freeform 972">
            <a:extLst>
              <a:ext uri="{FF2B5EF4-FFF2-40B4-BE49-F238E27FC236}">
                <a16:creationId xmlns:a16="http://schemas.microsoft.com/office/drawing/2014/main" xmlns="" id="{00000000-0008-0000-0200-0000AE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5" name="Freeform 973">
            <a:extLst>
              <a:ext uri="{FF2B5EF4-FFF2-40B4-BE49-F238E27FC236}">
                <a16:creationId xmlns:a16="http://schemas.microsoft.com/office/drawing/2014/main" xmlns="" id="{00000000-0008-0000-0200-0000AF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6" name="Rectangle 175">
            <a:extLst>
              <a:ext uri="{FF2B5EF4-FFF2-40B4-BE49-F238E27FC236}">
                <a16:creationId xmlns:a16="http://schemas.microsoft.com/office/drawing/2014/main" xmlns="" id="{00000000-0008-0000-0200-0000B0000000}"/>
              </a:ext>
            </a:extLst>
          </xdr:cNvPr>
          <xdr:cNvSpPr>
            <a:spLocks noChangeArrowheads="1"/>
          </xdr:cNvSpPr>
        </xdr:nvSpPr>
        <xdr:spPr bwMode="auto">
          <a:xfrm>
            <a:off x="2022474" y="1425575"/>
            <a:ext cx="342265" cy="192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4</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77" name="Line 975">
            <a:extLst>
              <a:ext uri="{FF2B5EF4-FFF2-40B4-BE49-F238E27FC236}">
                <a16:creationId xmlns:a16="http://schemas.microsoft.com/office/drawing/2014/main" xmlns="" id="{00000000-0008-0000-0200-0000B1000000}"/>
              </a:ext>
            </a:extLst>
          </xdr:cNvPr>
          <xdr:cNvCxnSpPr/>
        </xdr:nvCxnSpPr>
        <xdr:spPr bwMode="auto">
          <a:xfrm>
            <a:off x="5033010" y="62357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8" name="Line 976">
            <a:extLst>
              <a:ext uri="{FF2B5EF4-FFF2-40B4-BE49-F238E27FC236}">
                <a16:creationId xmlns:a16="http://schemas.microsoft.com/office/drawing/2014/main" xmlns="" id="{00000000-0008-0000-0200-0000B2000000}"/>
              </a:ext>
            </a:extLst>
          </xdr:cNvPr>
          <xdr:cNvCxnSpPr/>
        </xdr:nvCxnSpPr>
        <xdr:spPr bwMode="auto">
          <a:xfrm>
            <a:off x="5041265" y="185420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9" name="Line 977">
            <a:extLst>
              <a:ext uri="{FF2B5EF4-FFF2-40B4-BE49-F238E27FC236}">
                <a16:creationId xmlns:a16="http://schemas.microsoft.com/office/drawing/2014/main" xmlns="" id="{00000000-0008-0000-0200-0000B3000000}"/>
              </a:ext>
            </a:extLst>
          </xdr:cNvPr>
          <xdr:cNvCxnSpPr/>
        </xdr:nvCxnSpPr>
        <xdr:spPr bwMode="auto">
          <a:xfrm flipH="1">
            <a:off x="2139951" y="124079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180" name="Rectangle 179">
            <a:extLst>
              <a:ext uri="{FF2B5EF4-FFF2-40B4-BE49-F238E27FC236}">
                <a16:creationId xmlns:a16="http://schemas.microsoft.com/office/drawing/2014/main" xmlns="" id="{00000000-0008-0000-0200-0000B4000000}"/>
              </a:ext>
            </a:extLst>
          </xdr:cNvPr>
          <xdr:cNvSpPr>
            <a:spLocks noChangeArrowheads="1"/>
          </xdr:cNvSpPr>
        </xdr:nvSpPr>
        <xdr:spPr bwMode="auto">
          <a:xfrm>
            <a:off x="2672080" y="148717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81" name="Rectangle 180">
            <a:extLst>
              <a:ext uri="{FF2B5EF4-FFF2-40B4-BE49-F238E27FC236}">
                <a16:creationId xmlns:a16="http://schemas.microsoft.com/office/drawing/2014/main" xmlns="" id="{00000000-0008-0000-0200-0000B5000000}"/>
              </a:ext>
            </a:extLst>
          </xdr:cNvPr>
          <xdr:cNvSpPr>
            <a:spLocks noChangeArrowheads="1"/>
          </xdr:cNvSpPr>
        </xdr:nvSpPr>
        <xdr:spPr bwMode="auto">
          <a:xfrm>
            <a:off x="2672080" y="148717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2" name="Rectangle 181">
            <a:extLst>
              <a:ext uri="{FF2B5EF4-FFF2-40B4-BE49-F238E27FC236}">
                <a16:creationId xmlns:a16="http://schemas.microsoft.com/office/drawing/2014/main" xmlns="" id="{00000000-0008-0000-0200-0000B6000000}"/>
              </a:ext>
            </a:extLst>
          </xdr:cNvPr>
          <xdr:cNvSpPr>
            <a:spLocks noChangeArrowheads="1"/>
          </xdr:cNvSpPr>
        </xdr:nvSpPr>
        <xdr:spPr bwMode="auto">
          <a:xfrm>
            <a:off x="2731770" y="1579880"/>
            <a:ext cx="12255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3" name="Rectangle 182">
            <a:extLst>
              <a:ext uri="{FF2B5EF4-FFF2-40B4-BE49-F238E27FC236}">
                <a16:creationId xmlns:a16="http://schemas.microsoft.com/office/drawing/2014/main" xmlns="" id="{00000000-0008-0000-0200-0000B7000000}"/>
              </a:ext>
            </a:extLst>
          </xdr:cNvPr>
          <xdr:cNvSpPr>
            <a:spLocks noChangeArrowheads="1"/>
          </xdr:cNvSpPr>
        </xdr:nvSpPr>
        <xdr:spPr bwMode="auto">
          <a:xfrm>
            <a:off x="2857500" y="1588770"/>
            <a:ext cx="9144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4" name="Rectangle 183">
            <a:extLst>
              <a:ext uri="{FF2B5EF4-FFF2-40B4-BE49-F238E27FC236}">
                <a16:creationId xmlns:a16="http://schemas.microsoft.com/office/drawing/2014/main" xmlns="" id="{00000000-0008-0000-0200-0000B8000000}"/>
              </a:ext>
            </a:extLst>
          </xdr:cNvPr>
          <xdr:cNvSpPr>
            <a:spLocks noChangeArrowheads="1"/>
          </xdr:cNvSpPr>
        </xdr:nvSpPr>
        <xdr:spPr bwMode="auto">
          <a:xfrm>
            <a:off x="3771900" y="1579880"/>
            <a:ext cx="3492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5" name="Freeform 983">
            <a:extLst>
              <a:ext uri="{FF2B5EF4-FFF2-40B4-BE49-F238E27FC236}">
                <a16:creationId xmlns:a16="http://schemas.microsoft.com/office/drawing/2014/main" xmlns="" id="{00000000-0008-0000-0200-0000B9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6" name="Freeform 984">
            <a:extLst>
              <a:ext uri="{FF2B5EF4-FFF2-40B4-BE49-F238E27FC236}">
                <a16:creationId xmlns:a16="http://schemas.microsoft.com/office/drawing/2014/main" xmlns="" id="{00000000-0008-0000-0200-0000BA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7" name="Rectangle 186">
            <a:extLst>
              <a:ext uri="{FF2B5EF4-FFF2-40B4-BE49-F238E27FC236}">
                <a16:creationId xmlns:a16="http://schemas.microsoft.com/office/drawing/2014/main" xmlns="" id="{00000000-0008-0000-0200-0000BB000000}"/>
              </a:ext>
            </a:extLst>
          </xdr:cNvPr>
          <xdr:cNvSpPr>
            <a:spLocks noChangeArrowheads="1"/>
          </xdr:cNvSpPr>
        </xdr:nvSpPr>
        <xdr:spPr bwMode="auto">
          <a:xfrm>
            <a:off x="211455" y="2484120"/>
            <a:ext cx="22161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8" name="Freeform 986">
            <a:extLst>
              <a:ext uri="{FF2B5EF4-FFF2-40B4-BE49-F238E27FC236}">
                <a16:creationId xmlns:a16="http://schemas.microsoft.com/office/drawing/2014/main" xmlns="" id="{00000000-0008-0000-0200-0000BC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9" name="Freeform 987">
            <a:extLst>
              <a:ext uri="{FF2B5EF4-FFF2-40B4-BE49-F238E27FC236}">
                <a16:creationId xmlns:a16="http://schemas.microsoft.com/office/drawing/2014/main" xmlns="" id="{00000000-0008-0000-0200-0000BD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0" name="Rectangle 189">
            <a:extLst>
              <a:ext uri="{FF2B5EF4-FFF2-40B4-BE49-F238E27FC236}">
                <a16:creationId xmlns:a16="http://schemas.microsoft.com/office/drawing/2014/main" xmlns="" id="{00000000-0008-0000-0200-0000BE000000}"/>
              </a:ext>
            </a:extLst>
          </xdr:cNvPr>
          <xdr:cNvSpPr>
            <a:spLocks noChangeArrowheads="1"/>
          </xdr:cNvSpPr>
        </xdr:nvSpPr>
        <xdr:spPr bwMode="auto">
          <a:xfrm>
            <a:off x="211455" y="2792730"/>
            <a:ext cx="22606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1" name="Oval 989">
            <a:extLst>
              <a:ext uri="{FF2B5EF4-FFF2-40B4-BE49-F238E27FC236}">
                <a16:creationId xmlns:a16="http://schemas.microsoft.com/office/drawing/2014/main" xmlns="" id="{00000000-0008-0000-0200-0000BF000000}"/>
              </a:ext>
            </a:extLst>
          </xdr:cNvPr>
          <xdr:cNvSpPr>
            <a:spLocks noChangeArrowheads="1"/>
          </xdr:cNvSpPr>
        </xdr:nvSpPr>
        <xdr:spPr bwMode="auto">
          <a:xfrm>
            <a:off x="254000" y="308673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92" name="Oval 990">
            <a:extLst>
              <a:ext uri="{FF2B5EF4-FFF2-40B4-BE49-F238E27FC236}">
                <a16:creationId xmlns:a16="http://schemas.microsoft.com/office/drawing/2014/main" xmlns="" id="{00000000-0008-0000-0200-0000C0000000}"/>
              </a:ext>
            </a:extLst>
          </xdr:cNvPr>
          <xdr:cNvSpPr>
            <a:spLocks noChangeArrowheads="1"/>
          </xdr:cNvSpPr>
        </xdr:nvSpPr>
        <xdr:spPr bwMode="auto">
          <a:xfrm>
            <a:off x="254000" y="308673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3" name="Rectangle 192">
            <a:extLst>
              <a:ext uri="{FF2B5EF4-FFF2-40B4-BE49-F238E27FC236}">
                <a16:creationId xmlns:a16="http://schemas.microsoft.com/office/drawing/2014/main" xmlns="" id="{00000000-0008-0000-0200-0000C1000000}"/>
              </a:ext>
            </a:extLst>
          </xdr:cNvPr>
          <xdr:cNvSpPr>
            <a:spLocks noChangeArrowheads="1"/>
          </xdr:cNvSpPr>
        </xdr:nvSpPr>
        <xdr:spPr bwMode="auto">
          <a:xfrm>
            <a:off x="293370" y="310261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4" name="Rectangle 193">
            <a:extLst>
              <a:ext uri="{FF2B5EF4-FFF2-40B4-BE49-F238E27FC236}">
                <a16:creationId xmlns:a16="http://schemas.microsoft.com/office/drawing/2014/main" xmlns="" id="{00000000-0008-0000-0200-0000C2000000}"/>
              </a:ext>
            </a:extLst>
          </xdr:cNvPr>
          <xdr:cNvSpPr>
            <a:spLocks noChangeArrowheads="1"/>
          </xdr:cNvSpPr>
        </xdr:nvSpPr>
        <xdr:spPr bwMode="auto">
          <a:xfrm>
            <a:off x="683260" y="248475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5" name="Rectangle 194">
            <a:extLst>
              <a:ext uri="{FF2B5EF4-FFF2-40B4-BE49-F238E27FC236}">
                <a16:creationId xmlns:a16="http://schemas.microsoft.com/office/drawing/2014/main" xmlns="" id="{00000000-0008-0000-0200-0000C3000000}"/>
              </a:ext>
            </a:extLst>
          </xdr:cNvPr>
          <xdr:cNvSpPr>
            <a:spLocks noChangeArrowheads="1"/>
          </xdr:cNvSpPr>
        </xdr:nvSpPr>
        <xdr:spPr bwMode="auto">
          <a:xfrm>
            <a:off x="683260" y="248475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6" name="Rectangle 195">
            <a:extLst>
              <a:ext uri="{FF2B5EF4-FFF2-40B4-BE49-F238E27FC236}">
                <a16:creationId xmlns:a16="http://schemas.microsoft.com/office/drawing/2014/main" xmlns="" id="{00000000-0008-0000-0200-0000C4000000}"/>
              </a:ext>
            </a:extLst>
          </xdr:cNvPr>
          <xdr:cNvSpPr>
            <a:spLocks noChangeArrowheads="1"/>
          </xdr:cNvSpPr>
        </xdr:nvSpPr>
        <xdr:spPr bwMode="auto">
          <a:xfrm>
            <a:off x="725805" y="250063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7" name="Rectangle 196">
            <a:extLst>
              <a:ext uri="{FF2B5EF4-FFF2-40B4-BE49-F238E27FC236}">
                <a16:creationId xmlns:a16="http://schemas.microsoft.com/office/drawing/2014/main" xmlns="" id="{00000000-0008-0000-0200-0000C5000000}"/>
              </a:ext>
            </a:extLst>
          </xdr:cNvPr>
          <xdr:cNvSpPr>
            <a:spLocks noChangeArrowheads="1"/>
          </xdr:cNvSpPr>
        </xdr:nvSpPr>
        <xdr:spPr bwMode="auto">
          <a:xfrm>
            <a:off x="696595" y="310007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8" name="Rectangle 197">
            <a:extLst>
              <a:ext uri="{FF2B5EF4-FFF2-40B4-BE49-F238E27FC236}">
                <a16:creationId xmlns:a16="http://schemas.microsoft.com/office/drawing/2014/main" xmlns="" id="{00000000-0008-0000-0200-0000C6000000}"/>
              </a:ext>
            </a:extLst>
          </xdr:cNvPr>
          <xdr:cNvSpPr>
            <a:spLocks noChangeArrowheads="1"/>
          </xdr:cNvSpPr>
        </xdr:nvSpPr>
        <xdr:spPr bwMode="auto">
          <a:xfrm>
            <a:off x="696595" y="310007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9" name="Rectangle 198">
            <a:extLst>
              <a:ext uri="{FF2B5EF4-FFF2-40B4-BE49-F238E27FC236}">
                <a16:creationId xmlns:a16="http://schemas.microsoft.com/office/drawing/2014/main" xmlns="" id="{00000000-0008-0000-0200-0000C7000000}"/>
              </a:ext>
            </a:extLst>
          </xdr:cNvPr>
          <xdr:cNvSpPr>
            <a:spLocks noChangeArrowheads="1"/>
          </xdr:cNvSpPr>
        </xdr:nvSpPr>
        <xdr:spPr bwMode="auto">
          <a:xfrm>
            <a:off x="725805" y="308610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00" name="Rectangle 199">
            <a:extLst>
              <a:ext uri="{FF2B5EF4-FFF2-40B4-BE49-F238E27FC236}">
                <a16:creationId xmlns:a16="http://schemas.microsoft.com/office/drawing/2014/main" xmlns="" id="{00000000-0008-0000-0200-0000C8000000}"/>
              </a:ext>
            </a:extLst>
          </xdr:cNvPr>
          <xdr:cNvSpPr>
            <a:spLocks noChangeArrowheads="1"/>
          </xdr:cNvSpPr>
        </xdr:nvSpPr>
        <xdr:spPr bwMode="auto">
          <a:xfrm>
            <a:off x="688340" y="279146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01" name="Rectangle 200">
            <a:extLst>
              <a:ext uri="{FF2B5EF4-FFF2-40B4-BE49-F238E27FC236}">
                <a16:creationId xmlns:a16="http://schemas.microsoft.com/office/drawing/2014/main" xmlns="" id="{00000000-0008-0000-0200-0000C9000000}"/>
              </a:ext>
            </a:extLst>
          </xdr:cNvPr>
          <xdr:cNvSpPr>
            <a:spLocks noChangeArrowheads="1"/>
          </xdr:cNvSpPr>
        </xdr:nvSpPr>
        <xdr:spPr bwMode="auto">
          <a:xfrm>
            <a:off x="688340" y="279146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2" name="Rectangle 201">
            <a:extLst>
              <a:ext uri="{FF2B5EF4-FFF2-40B4-BE49-F238E27FC236}">
                <a16:creationId xmlns:a16="http://schemas.microsoft.com/office/drawing/2014/main" xmlns="" id="{00000000-0008-0000-0200-0000CA000000}"/>
              </a:ext>
            </a:extLst>
          </xdr:cNvPr>
          <xdr:cNvSpPr>
            <a:spLocks noChangeArrowheads="1"/>
          </xdr:cNvSpPr>
        </xdr:nvSpPr>
        <xdr:spPr bwMode="auto">
          <a:xfrm>
            <a:off x="734695" y="2810510"/>
            <a:ext cx="1209040" cy="113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03" name="Freeform 1001">
            <a:extLst>
              <a:ext uri="{FF2B5EF4-FFF2-40B4-BE49-F238E27FC236}">
                <a16:creationId xmlns:a16="http://schemas.microsoft.com/office/drawing/2014/main" xmlns="" id="{00000000-0008-0000-0200-0000CB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4" name="Freeform 1002">
            <a:extLst>
              <a:ext uri="{FF2B5EF4-FFF2-40B4-BE49-F238E27FC236}">
                <a16:creationId xmlns:a16="http://schemas.microsoft.com/office/drawing/2014/main" xmlns="" id="{00000000-0008-0000-0200-0000CC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5" name="Rectangle 204">
            <a:extLst>
              <a:ext uri="{FF2B5EF4-FFF2-40B4-BE49-F238E27FC236}">
                <a16:creationId xmlns:a16="http://schemas.microsoft.com/office/drawing/2014/main" xmlns="" id="{00000000-0008-0000-0200-0000CD000000}"/>
              </a:ext>
            </a:extLst>
          </xdr:cNvPr>
          <xdr:cNvSpPr>
            <a:spLocks noChangeArrowheads="1"/>
          </xdr:cNvSpPr>
        </xdr:nvSpPr>
        <xdr:spPr bwMode="auto">
          <a:xfrm>
            <a:off x="2717164" y="2816860"/>
            <a:ext cx="452755"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06" name="Line 1004">
            <a:extLst>
              <a:ext uri="{FF2B5EF4-FFF2-40B4-BE49-F238E27FC236}">
                <a16:creationId xmlns:a16="http://schemas.microsoft.com/office/drawing/2014/main" xmlns="" id="{00000000-0008-0000-0200-0000CE000000}"/>
              </a:ext>
            </a:extLst>
          </xdr:cNvPr>
          <xdr:cNvCxnSpPr/>
        </xdr:nvCxnSpPr>
        <xdr:spPr bwMode="auto">
          <a:xfrm flipV="1">
            <a:off x="2834005" y="2640965"/>
            <a:ext cx="1270"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07" name="Freeform 1005">
            <a:extLst>
              <a:ext uri="{FF2B5EF4-FFF2-40B4-BE49-F238E27FC236}">
                <a16:creationId xmlns:a16="http://schemas.microsoft.com/office/drawing/2014/main" xmlns="" id="{00000000-0008-0000-0200-0000CF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8" name="Freeform 1006">
            <a:extLst>
              <a:ext uri="{FF2B5EF4-FFF2-40B4-BE49-F238E27FC236}">
                <a16:creationId xmlns:a16="http://schemas.microsoft.com/office/drawing/2014/main" xmlns="" id="{00000000-0008-0000-0200-0000D0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9" name="Rectangle 208">
            <a:extLst>
              <a:ext uri="{FF2B5EF4-FFF2-40B4-BE49-F238E27FC236}">
                <a16:creationId xmlns:a16="http://schemas.microsoft.com/office/drawing/2014/main" xmlns="" id="{00000000-0008-0000-0200-0000D1000000}"/>
              </a:ext>
            </a:extLst>
          </xdr:cNvPr>
          <xdr:cNvSpPr>
            <a:spLocks noChangeArrowheads="1"/>
          </xdr:cNvSpPr>
        </xdr:nvSpPr>
        <xdr:spPr bwMode="auto">
          <a:xfrm>
            <a:off x="3474719" y="2816860"/>
            <a:ext cx="390525" cy="157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10" name="Line 1008">
            <a:extLst>
              <a:ext uri="{FF2B5EF4-FFF2-40B4-BE49-F238E27FC236}">
                <a16:creationId xmlns:a16="http://schemas.microsoft.com/office/drawing/2014/main" xmlns="" id="{00000000-0008-0000-0200-0000D2000000}"/>
              </a:ext>
            </a:extLst>
          </xdr:cNvPr>
          <xdr:cNvCxnSpPr/>
        </xdr:nvCxnSpPr>
        <xdr:spPr bwMode="auto">
          <a:xfrm flipV="1">
            <a:off x="3589655" y="2640965"/>
            <a:ext cx="635"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11" name="Rectangle 210">
            <a:extLst>
              <a:ext uri="{FF2B5EF4-FFF2-40B4-BE49-F238E27FC236}">
                <a16:creationId xmlns:a16="http://schemas.microsoft.com/office/drawing/2014/main" xmlns="" id="{00000000-0008-0000-0200-0000D3000000}"/>
              </a:ext>
            </a:extLst>
          </xdr:cNvPr>
          <xdr:cNvSpPr>
            <a:spLocks noChangeArrowheads="1"/>
          </xdr:cNvSpPr>
        </xdr:nvSpPr>
        <xdr:spPr bwMode="auto">
          <a:xfrm>
            <a:off x="2679700" y="302641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2" name="Rectangle 211">
            <a:extLst>
              <a:ext uri="{FF2B5EF4-FFF2-40B4-BE49-F238E27FC236}">
                <a16:creationId xmlns:a16="http://schemas.microsoft.com/office/drawing/2014/main" xmlns="" id="{00000000-0008-0000-0200-0000D4000000}"/>
              </a:ext>
            </a:extLst>
          </xdr:cNvPr>
          <xdr:cNvSpPr>
            <a:spLocks noChangeArrowheads="1"/>
          </xdr:cNvSpPr>
        </xdr:nvSpPr>
        <xdr:spPr bwMode="auto">
          <a:xfrm>
            <a:off x="2679700" y="302641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3" name="Rectangle 212">
            <a:extLst>
              <a:ext uri="{FF2B5EF4-FFF2-40B4-BE49-F238E27FC236}">
                <a16:creationId xmlns:a16="http://schemas.microsoft.com/office/drawing/2014/main" xmlns="" id="{00000000-0008-0000-0200-0000D5000000}"/>
              </a:ext>
            </a:extLst>
          </xdr:cNvPr>
          <xdr:cNvSpPr>
            <a:spLocks noChangeArrowheads="1"/>
          </xdr:cNvSpPr>
        </xdr:nvSpPr>
        <xdr:spPr bwMode="auto">
          <a:xfrm>
            <a:off x="2724150" y="304609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14" name="Rectangle 213">
            <a:extLst>
              <a:ext uri="{FF2B5EF4-FFF2-40B4-BE49-F238E27FC236}">
                <a16:creationId xmlns:a16="http://schemas.microsoft.com/office/drawing/2014/main" xmlns="" id="{00000000-0008-0000-0200-0000D6000000}"/>
              </a:ext>
            </a:extLst>
          </xdr:cNvPr>
          <xdr:cNvSpPr>
            <a:spLocks noChangeArrowheads="1"/>
          </xdr:cNvSpPr>
        </xdr:nvSpPr>
        <xdr:spPr bwMode="auto">
          <a:xfrm>
            <a:off x="3366135" y="302641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5" name="Rectangle 214">
            <a:extLst>
              <a:ext uri="{FF2B5EF4-FFF2-40B4-BE49-F238E27FC236}">
                <a16:creationId xmlns:a16="http://schemas.microsoft.com/office/drawing/2014/main" xmlns="" id="{00000000-0008-0000-0200-0000D7000000}"/>
              </a:ext>
            </a:extLst>
          </xdr:cNvPr>
          <xdr:cNvSpPr>
            <a:spLocks noChangeArrowheads="1"/>
          </xdr:cNvSpPr>
        </xdr:nvSpPr>
        <xdr:spPr bwMode="auto">
          <a:xfrm>
            <a:off x="3366135" y="302641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6" name="Rectangle 215">
            <a:extLst>
              <a:ext uri="{FF2B5EF4-FFF2-40B4-BE49-F238E27FC236}">
                <a16:creationId xmlns:a16="http://schemas.microsoft.com/office/drawing/2014/main" xmlns="" id="{00000000-0008-0000-0200-0000D8000000}"/>
              </a:ext>
            </a:extLst>
          </xdr:cNvPr>
          <xdr:cNvSpPr>
            <a:spLocks noChangeArrowheads="1"/>
          </xdr:cNvSpPr>
        </xdr:nvSpPr>
        <xdr:spPr bwMode="auto">
          <a:xfrm>
            <a:off x="3409315" y="3046095"/>
            <a:ext cx="59118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17" name="Line 1015">
            <a:extLst>
              <a:ext uri="{FF2B5EF4-FFF2-40B4-BE49-F238E27FC236}">
                <a16:creationId xmlns:a16="http://schemas.microsoft.com/office/drawing/2014/main" xmlns="" id="{00000000-0008-0000-0200-0000D9000000}"/>
              </a:ext>
            </a:extLst>
          </xdr:cNvPr>
          <xdr:cNvCxnSpPr/>
        </xdr:nvCxnSpPr>
        <xdr:spPr bwMode="auto">
          <a:xfrm>
            <a:off x="4686300" y="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249767</xdr:colOff>
      <xdr:row>206</xdr:row>
      <xdr:rowOff>47625</xdr:rowOff>
    </xdr:from>
    <xdr:to>
      <xdr:col>28</xdr:col>
      <xdr:colOff>633307</xdr:colOff>
      <xdr:row>224</xdr:row>
      <xdr:rowOff>38100</xdr:rowOff>
    </xdr:to>
    <xdr:grpSp>
      <xdr:nvGrpSpPr>
        <xdr:cNvPr id="218" name="Zone de dessin 1156">
          <a:extLst>
            <a:ext uri="{FF2B5EF4-FFF2-40B4-BE49-F238E27FC236}">
              <a16:creationId xmlns:a16="http://schemas.microsoft.com/office/drawing/2014/main" xmlns="" id="{00000000-0008-0000-0200-0000DA000000}"/>
            </a:ext>
          </a:extLst>
        </xdr:cNvPr>
        <xdr:cNvGrpSpPr/>
      </xdr:nvGrpSpPr>
      <xdr:grpSpPr>
        <a:xfrm>
          <a:off x="16966142" y="36933188"/>
          <a:ext cx="6479540" cy="3431381"/>
          <a:chOff x="0" y="0"/>
          <a:chExt cx="6479540" cy="3429000"/>
        </a:xfrm>
      </xdr:grpSpPr>
      <xdr:sp macro="" textlink="">
        <xdr:nvSpPr>
          <xdr:cNvPr id="219" name="Rectangle 218">
            <a:extLst>
              <a:ext uri="{FF2B5EF4-FFF2-40B4-BE49-F238E27FC236}">
                <a16:creationId xmlns:a16="http://schemas.microsoft.com/office/drawing/2014/main" xmlns="" id="{00000000-0008-0000-0200-0000DB000000}"/>
              </a:ext>
            </a:extLst>
          </xdr:cNvPr>
          <xdr:cNvSpPr/>
        </xdr:nvSpPr>
        <xdr:spPr>
          <a:xfrm>
            <a:off x="0" y="0"/>
            <a:ext cx="6479540" cy="3429000"/>
          </a:xfrm>
          <a:prstGeom prst="rect">
            <a:avLst/>
          </a:prstGeom>
          <a:noFill/>
          <a:ln>
            <a:noFill/>
          </a:ln>
        </xdr:spPr>
      </xdr:sp>
      <xdr:sp macro="" textlink="">
        <xdr:nvSpPr>
          <xdr:cNvPr id="220" name="AutoShape 1158">
            <a:extLst>
              <a:ext uri="{FF2B5EF4-FFF2-40B4-BE49-F238E27FC236}">
                <a16:creationId xmlns:a16="http://schemas.microsoft.com/office/drawing/2014/main" xmlns="" id="{00000000-0008-0000-0200-0000DC000000}"/>
              </a:ext>
            </a:extLst>
          </xdr:cNvPr>
          <xdr:cNvSpPr>
            <a:spLocks noChangeAspect="1" noChangeArrowheads="1"/>
          </xdr:cNvSpPr>
        </xdr:nvSpPr>
        <xdr:spPr bwMode="auto">
          <a:xfrm>
            <a:off x="0" y="6438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1" name="Rectangle 220">
            <a:extLst>
              <a:ext uri="{FF2B5EF4-FFF2-40B4-BE49-F238E27FC236}">
                <a16:creationId xmlns:a16="http://schemas.microsoft.com/office/drawing/2014/main" xmlns="" id="{00000000-0008-0000-0200-0000DD000000}"/>
              </a:ext>
            </a:extLst>
          </xdr:cNvPr>
          <xdr:cNvSpPr>
            <a:spLocks noChangeArrowheads="1"/>
          </xdr:cNvSpPr>
        </xdr:nvSpPr>
        <xdr:spPr bwMode="auto">
          <a:xfrm>
            <a:off x="2594610" y="6362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2" name="Rectangle 221">
            <a:extLst>
              <a:ext uri="{FF2B5EF4-FFF2-40B4-BE49-F238E27FC236}">
                <a16:creationId xmlns:a16="http://schemas.microsoft.com/office/drawing/2014/main" xmlns="" id="{00000000-0008-0000-0200-0000DE000000}"/>
              </a:ext>
            </a:extLst>
          </xdr:cNvPr>
          <xdr:cNvSpPr>
            <a:spLocks noChangeArrowheads="1"/>
          </xdr:cNvSpPr>
        </xdr:nvSpPr>
        <xdr:spPr bwMode="auto">
          <a:xfrm>
            <a:off x="2594610" y="6362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23" name="Rectangle 222">
            <a:extLst>
              <a:ext uri="{FF2B5EF4-FFF2-40B4-BE49-F238E27FC236}">
                <a16:creationId xmlns:a16="http://schemas.microsoft.com/office/drawing/2014/main" xmlns="" id="{00000000-0008-0000-0200-0000DF000000}"/>
              </a:ext>
            </a:extLst>
          </xdr:cNvPr>
          <xdr:cNvSpPr>
            <a:spLocks noChangeArrowheads="1"/>
          </xdr:cNvSpPr>
        </xdr:nvSpPr>
        <xdr:spPr bwMode="auto">
          <a:xfrm>
            <a:off x="2936240" y="685800"/>
            <a:ext cx="551815"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24" name="Line 1162">
            <a:extLst>
              <a:ext uri="{FF2B5EF4-FFF2-40B4-BE49-F238E27FC236}">
                <a16:creationId xmlns:a16="http://schemas.microsoft.com/office/drawing/2014/main" xmlns="" id="{00000000-0008-0000-0200-0000E0000000}"/>
              </a:ext>
            </a:extLst>
          </xdr:cNvPr>
          <xdr:cNvCxnSpPr/>
        </xdr:nvCxnSpPr>
        <xdr:spPr bwMode="auto">
          <a:xfrm flipH="1">
            <a:off x="3908425" y="17094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5" name="Freeform 1163">
            <a:extLst>
              <a:ext uri="{FF2B5EF4-FFF2-40B4-BE49-F238E27FC236}">
                <a16:creationId xmlns:a16="http://schemas.microsoft.com/office/drawing/2014/main" xmlns="" id="{00000000-0008-0000-0200-0000E1000000}"/>
              </a:ext>
            </a:extLst>
          </xdr:cNvPr>
          <xdr:cNvSpPr>
            <a:spLocks/>
          </xdr:cNvSpPr>
        </xdr:nvSpPr>
        <xdr:spPr bwMode="auto">
          <a:xfrm>
            <a:off x="3828415" y="16649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226" name="Line 1164">
            <a:extLst>
              <a:ext uri="{FF2B5EF4-FFF2-40B4-BE49-F238E27FC236}">
                <a16:creationId xmlns:a16="http://schemas.microsoft.com/office/drawing/2014/main" xmlns="" id="{00000000-0008-0000-0200-0000E2000000}"/>
              </a:ext>
            </a:extLst>
          </xdr:cNvPr>
          <xdr:cNvCxnSpPr/>
        </xdr:nvCxnSpPr>
        <xdr:spPr bwMode="auto">
          <a:xfrm>
            <a:off x="3828415" y="9429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227" name="Line 1165">
            <a:extLst>
              <a:ext uri="{FF2B5EF4-FFF2-40B4-BE49-F238E27FC236}">
                <a16:creationId xmlns:a16="http://schemas.microsoft.com/office/drawing/2014/main" xmlns="" id="{00000000-0008-0000-0200-0000E3000000}"/>
              </a:ext>
            </a:extLst>
          </xdr:cNvPr>
          <xdr:cNvCxnSpPr/>
        </xdr:nvCxnSpPr>
        <xdr:spPr bwMode="auto">
          <a:xfrm flipH="1">
            <a:off x="1094106" y="9429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8" name="Rectangle 227">
            <a:extLst>
              <a:ext uri="{FF2B5EF4-FFF2-40B4-BE49-F238E27FC236}">
                <a16:creationId xmlns:a16="http://schemas.microsoft.com/office/drawing/2014/main" xmlns="" id="{00000000-0008-0000-0200-0000E4000000}"/>
              </a:ext>
            </a:extLst>
          </xdr:cNvPr>
          <xdr:cNvSpPr>
            <a:spLocks noChangeArrowheads="1"/>
          </xdr:cNvSpPr>
        </xdr:nvSpPr>
        <xdr:spPr bwMode="auto">
          <a:xfrm>
            <a:off x="16510" y="7893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9" name="Rectangle 228">
            <a:extLst>
              <a:ext uri="{FF2B5EF4-FFF2-40B4-BE49-F238E27FC236}">
                <a16:creationId xmlns:a16="http://schemas.microsoft.com/office/drawing/2014/main" xmlns="" id="{00000000-0008-0000-0200-0000E5000000}"/>
              </a:ext>
            </a:extLst>
          </xdr:cNvPr>
          <xdr:cNvSpPr>
            <a:spLocks noChangeArrowheads="1"/>
          </xdr:cNvSpPr>
        </xdr:nvSpPr>
        <xdr:spPr bwMode="auto">
          <a:xfrm>
            <a:off x="16510" y="7893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0" name="Rectangle 229">
            <a:extLst>
              <a:ext uri="{FF2B5EF4-FFF2-40B4-BE49-F238E27FC236}">
                <a16:creationId xmlns:a16="http://schemas.microsoft.com/office/drawing/2014/main" xmlns="" id="{00000000-0008-0000-0200-0000E6000000}"/>
              </a:ext>
            </a:extLst>
          </xdr:cNvPr>
          <xdr:cNvSpPr>
            <a:spLocks noChangeArrowheads="1"/>
          </xdr:cNvSpPr>
        </xdr:nvSpPr>
        <xdr:spPr bwMode="auto">
          <a:xfrm>
            <a:off x="187960" y="11379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1" name="Rectangle 230">
            <a:extLst>
              <a:ext uri="{FF2B5EF4-FFF2-40B4-BE49-F238E27FC236}">
                <a16:creationId xmlns:a16="http://schemas.microsoft.com/office/drawing/2014/main" xmlns="" id="{00000000-0008-0000-0200-0000E7000000}"/>
              </a:ext>
            </a:extLst>
          </xdr:cNvPr>
          <xdr:cNvSpPr>
            <a:spLocks noChangeArrowheads="1"/>
          </xdr:cNvSpPr>
        </xdr:nvSpPr>
        <xdr:spPr bwMode="auto">
          <a:xfrm>
            <a:off x="5385435" y="7893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2" name="Rectangle 231">
            <a:extLst>
              <a:ext uri="{FF2B5EF4-FFF2-40B4-BE49-F238E27FC236}">
                <a16:creationId xmlns:a16="http://schemas.microsoft.com/office/drawing/2014/main" xmlns="" id="{00000000-0008-0000-0200-0000E8000000}"/>
              </a:ext>
            </a:extLst>
          </xdr:cNvPr>
          <xdr:cNvSpPr>
            <a:spLocks noChangeArrowheads="1"/>
          </xdr:cNvSpPr>
        </xdr:nvSpPr>
        <xdr:spPr bwMode="auto">
          <a:xfrm>
            <a:off x="5385435" y="7893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3" name="Rectangle 232">
            <a:extLst>
              <a:ext uri="{FF2B5EF4-FFF2-40B4-BE49-F238E27FC236}">
                <a16:creationId xmlns:a16="http://schemas.microsoft.com/office/drawing/2014/main" xmlns="" id="{00000000-0008-0000-0200-0000E9000000}"/>
              </a:ext>
            </a:extLst>
          </xdr:cNvPr>
          <xdr:cNvSpPr>
            <a:spLocks noChangeArrowheads="1"/>
          </xdr:cNvSpPr>
        </xdr:nvSpPr>
        <xdr:spPr bwMode="auto">
          <a:xfrm>
            <a:off x="5471160" y="12204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34" name="Line 1172">
            <a:extLst>
              <a:ext uri="{FF2B5EF4-FFF2-40B4-BE49-F238E27FC236}">
                <a16:creationId xmlns:a16="http://schemas.microsoft.com/office/drawing/2014/main" xmlns="" id="{00000000-0008-0000-0200-0000EA000000}"/>
              </a:ext>
            </a:extLst>
          </xdr:cNvPr>
          <xdr:cNvCxnSpPr/>
        </xdr:nvCxnSpPr>
        <xdr:spPr bwMode="auto">
          <a:xfrm>
            <a:off x="1094105" y="17094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35" name="Freeform 1173">
            <a:extLst>
              <a:ext uri="{FF2B5EF4-FFF2-40B4-BE49-F238E27FC236}">
                <a16:creationId xmlns:a16="http://schemas.microsoft.com/office/drawing/2014/main" xmlns="" id="{00000000-0008-0000-0200-0000EB000000}"/>
              </a:ext>
            </a:extLst>
          </xdr:cNvPr>
          <xdr:cNvSpPr>
            <a:spLocks/>
          </xdr:cNvSpPr>
        </xdr:nvSpPr>
        <xdr:spPr bwMode="auto">
          <a:xfrm>
            <a:off x="2504440" y="16649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6" name="Oval 1174">
            <a:extLst>
              <a:ext uri="{FF2B5EF4-FFF2-40B4-BE49-F238E27FC236}">
                <a16:creationId xmlns:a16="http://schemas.microsoft.com/office/drawing/2014/main" xmlns="" id="{00000000-0008-0000-0200-0000EC000000}"/>
              </a:ext>
            </a:extLst>
          </xdr:cNvPr>
          <xdr:cNvSpPr>
            <a:spLocks noChangeArrowheads="1"/>
          </xdr:cNvSpPr>
        </xdr:nvSpPr>
        <xdr:spPr bwMode="auto">
          <a:xfrm>
            <a:off x="2009140" y="8051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37" name="Oval 1175">
            <a:extLst>
              <a:ext uri="{FF2B5EF4-FFF2-40B4-BE49-F238E27FC236}">
                <a16:creationId xmlns:a16="http://schemas.microsoft.com/office/drawing/2014/main" xmlns="" id="{00000000-0008-0000-0200-0000ED000000}"/>
              </a:ext>
            </a:extLst>
          </xdr:cNvPr>
          <xdr:cNvSpPr>
            <a:spLocks noChangeArrowheads="1"/>
          </xdr:cNvSpPr>
        </xdr:nvSpPr>
        <xdr:spPr bwMode="auto">
          <a:xfrm>
            <a:off x="2009140" y="8051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8" name="Rectangle 237">
            <a:extLst>
              <a:ext uri="{FF2B5EF4-FFF2-40B4-BE49-F238E27FC236}">
                <a16:creationId xmlns:a16="http://schemas.microsoft.com/office/drawing/2014/main" xmlns="" id="{00000000-0008-0000-0200-0000EE000000}"/>
              </a:ext>
            </a:extLst>
          </xdr:cNvPr>
          <xdr:cNvSpPr>
            <a:spLocks noChangeArrowheads="1"/>
          </xdr:cNvSpPr>
        </xdr:nvSpPr>
        <xdr:spPr bwMode="auto">
          <a:xfrm>
            <a:off x="2096770"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9" name="Oval 1177">
            <a:extLst>
              <a:ext uri="{FF2B5EF4-FFF2-40B4-BE49-F238E27FC236}">
                <a16:creationId xmlns:a16="http://schemas.microsoft.com/office/drawing/2014/main" xmlns="" id="{00000000-0008-0000-0200-0000EF000000}"/>
              </a:ext>
            </a:extLst>
          </xdr:cNvPr>
          <xdr:cNvSpPr>
            <a:spLocks noChangeArrowheads="1"/>
          </xdr:cNvSpPr>
        </xdr:nvSpPr>
        <xdr:spPr bwMode="auto">
          <a:xfrm>
            <a:off x="4956810" y="8051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40" name="Oval 1178">
            <a:extLst>
              <a:ext uri="{FF2B5EF4-FFF2-40B4-BE49-F238E27FC236}">
                <a16:creationId xmlns:a16="http://schemas.microsoft.com/office/drawing/2014/main" xmlns="" id="{00000000-0008-0000-0200-0000F0000000}"/>
              </a:ext>
            </a:extLst>
          </xdr:cNvPr>
          <xdr:cNvSpPr>
            <a:spLocks noChangeArrowheads="1"/>
          </xdr:cNvSpPr>
        </xdr:nvSpPr>
        <xdr:spPr bwMode="auto">
          <a:xfrm>
            <a:off x="4956810" y="8051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1" name="Rectangle 240">
            <a:extLst>
              <a:ext uri="{FF2B5EF4-FFF2-40B4-BE49-F238E27FC236}">
                <a16:creationId xmlns:a16="http://schemas.microsoft.com/office/drawing/2014/main" xmlns="" id="{00000000-0008-0000-0200-0000F1000000}"/>
              </a:ext>
            </a:extLst>
          </xdr:cNvPr>
          <xdr:cNvSpPr>
            <a:spLocks noChangeArrowheads="1"/>
          </xdr:cNvSpPr>
        </xdr:nvSpPr>
        <xdr:spPr bwMode="auto">
          <a:xfrm>
            <a:off x="5045075"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2" name="Freeform 1180">
            <a:extLst>
              <a:ext uri="{FF2B5EF4-FFF2-40B4-BE49-F238E27FC236}">
                <a16:creationId xmlns:a16="http://schemas.microsoft.com/office/drawing/2014/main" xmlns="" id="{00000000-0008-0000-0200-0000F2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3" name="Freeform 1181">
            <a:extLst>
              <a:ext uri="{FF2B5EF4-FFF2-40B4-BE49-F238E27FC236}">
                <a16:creationId xmlns:a16="http://schemas.microsoft.com/office/drawing/2014/main" xmlns="" id="{00000000-0008-0000-0200-0000F3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4" name="Rectangle 243">
            <a:extLst>
              <a:ext uri="{FF2B5EF4-FFF2-40B4-BE49-F238E27FC236}">
                <a16:creationId xmlns:a16="http://schemas.microsoft.com/office/drawing/2014/main" xmlns="" id="{00000000-0008-0000-0200-0000F4000000}"/>
              </a:ext>
            </a:extLst>
          </xdr:cNvPr>
          <xdr:cNvSpPr>
            <a:spLocks noChangeArrowheads="1"/>
          </xdr:cNvSpPr>
        </xdr:nvSpPr>
        <xdr:spPr bwMode="auto">
          <a:xfrm>
            <a:off x="1280160" y="1257300"/>
            <a:ext cx="320040"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5" name="Freeform 1183">
            <a:extLst>
              <a:ext uri="{FF2B5EF4-FFF2-40B4-BE49-F238E27FC236}">
                <a16:creationId xmlns:a16="http://schemas.microsoft.com/office/drawing/2014/main" xmlns="" id="{00000000-0008-0000-0200-0000F5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6" name="Freeform 1184">
            <a:extLst>
              <a:ext uri="{FF2B5EF4-FFF2-40B4-BE49-F238E27FC236}">
                <a16:creationId xmlns:a16="http://schemas.microsoft.com/office/drawing/2014/main" xmlns="" id="{00000000-0008-0000-0200-0000F6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7" name="Rectangle 246">
            <a:extLst>
              <a:ext uri="{FF2B5EF4-FFF2-40B4-BE49-F238E27FC236}">
                <a16:creationId xmlns:a16="http://schemas.microsoft.com/office/drawing/2014/main" xmlns="" id="{00000000-0008-0000-0200-0000F7000000}"/>
              </a:ext>
            </a:extLst>
          </xdr:cNvPr>
          <xdr:cNvSpPr>
            <a:spLocks noChangeArrowheads="1"/>
          </xdr:cNvSpPr>
        </xdr:nvSpPr>
        <xdr:spPr bwMode="auto">
          <a:xfrm>
            <a:off x="4253230" y="1257300"/>
            <a:ext cx="31877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48" name="Line 1186">
            <a:extLst>
              <a:ext uri="{FF2B5EF4-FFF2-40B4-BE49-F238E27FC236}">
                <a16:creationId xmlns:a16="http://schemas.microsoft.com/office/drawing/2014/main" xmlns="" id="{00000000-0008-0000-0200-0000F8000000}"/>
              </a:ext>
            </a:extLst>
          </xdr:cNvPr>
          <xdr:cNvCxnSpPr/>
        </xdr:nvCxnSpPr>
        <xdr:spPr bwMode="auto">
          <a:xfrm>
            <a:off x="4371975" y="9467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49" name="Line 1187">
            <a:extLst>
              <a:ext uri="{FF2B5EF4-FFF2-40B4-BE49-F238E27FC236}">
                <a16:creationId xmlns:a16="http://schemas.microsoft.com/office/drawing/2014/main" xmlns="" id="{00000000-0008-0000-0200-0000F9000000}"/>
              </a:ext>
            </a:extLst>
          </xdr:cNvPr>
          <xdr:cNvCxnSpPr/>
        </xdr:nvCxnSpPr>
        <xdr:spPr bwMode="auto">
          <a:xfrm>
            <a:off x="4371975" y="14185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0" name="Line 1188">
            <a:extLst>
              <a:ext uri="{FF2B5EF4-FFF2-40B4-BE49-F238E27FC236}">
                <a16:creationId xmlns:a16="http://schemas.microsoft.com/office/drawing/2014/main" xmlns="" id="{00000000-0008-0000-0200-0000FA000000}"/>
              </a:ext>
            </a:extLst>
          </xdr:cNvPr>
          <xdr:cNvCxnSpPr/>
        </xdr:nvCxnSpPr>
        <xdr:spPr bwMode="auto">
          <a:xfrm flipV="1">
            <a:off x="1403350" y="1415416"/>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1" name="Line 1189">
            <a:extLst>
              <a:ext uri="{FF2B5EF4-FFF2-40B4-BE49-F238E27FC236}">
                <a16:creationId xmlns:a16="http://schemas.microsoft.com/office/drawing/2014/main" xmlns="" id="{00000000-0008-0000-0200-0000FB000000}"/>
              </a:ext>
            </a:extLst>
          </xdr:cNvPr>
          <xdr:cNvCxnSpPr/>
        </xdr:nvCxnSpPr>
        <xdr:spPr bwMode="auto">
          <a:xfrm flipV="1">
            <a:off x="1403350" y="9429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2" name="Line 1190">
            <a:extLst>
              <a:ext uri="{FF2B5EF4-FFF2-40B4-BE49-F238E27FC236}">
                <a16:creationId xmlns:a16="http://schemas.microsoft.com/office/drawing/2014/main" xmlns="" id="{00000000-0008-0000-0200-0000FC000000}"/>
              </a:ext>
            </a:extLst>
          </xdr:cNvPr>
          <xdr:cNvCxnSpPr/>
        </xdr:nvCxnSpPr>
        <xdr:spPr bwMode="auto">
          <a:xfrm flipH="1">
            <a:off x="4225925" y="15589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3" name="Line 1191">
            <a:extLst>
              <a:ext uri="{FF2B5EF4-FFF2-40B4-BE49-F238E27FC236}">
                <a16:creationId xmlns:a16="http://schemas.microsoft.com/office/drawing/2014/main" xmlns="" id="{00000000-0008-0000-0200-0000FD000000}"/>
              </a:ext>
            </a:extLst>
          </xdr:cNvPr>
          <xdr:cNvCxnSpPr/>
        </xdr:nvCxnSpPr>
        <xdr:spPr bwMode="auto">
          <a:xfrm flipH="1">
            <a:off x="4232911" y="10991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4" name="Line 1192">
            <a:extLst>
              <a:ext uri="{FF2B5EF4-FFF2-40B4-BE49-F238E27FC236}">
                <a16:creationId xmlns:a16="http://schemas.microsoft.com/office/drawing/2014/main" xmlns="" id="{00000000-0008-0000-0200-0000FE000000}"/>
              </a:ext>
            </a:extLst>
          </xdr:cNvPr>
          <xdr:cNvCxnSpPr/>
        </xdr:nvCxnSpPr>
        <xdr:spPr bwMode="auto">
          <a:xfrm>
            <a:off x="1403350" y="10960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5" name="Line 1193">
            <a:extLst>
              <a:ext uri="{FF2B5EF4-FFF2-40B4-BE49-F238E27FC236}">
                <a16:creationId xmlns:a16="http://schemas.microsoft.com/office/drawing/2014/main" xmlns="" id="{00000000-0008-0000-0200-0000FF000000}"/>
              </a:ext>
            </a:extLst>
          </xdr:cNvPr>
          <xdr:cNvCxnSpPr/>
        </xdr:nvCxnSpPr>
        <xdr:spPr bwMode="auto">
          <a:xfrm>
            <a:off x="1403350" y="15557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256" name="Oval 1194">
            <a:extLst>
              <a:ext uri="{FF2B5EF4-FFF2-40B4-BE49-F238E27FC236}">
                <a16:creationId xmlns:a16="http://schemas.microsoft.com/office/drawing/2014/main" xmlns="" id="{00000000-0008-0000-0200-000000010000}"/>
              </a:ext>
            </a:extLst>
          </xdr:cNvPr>
          <xdr:cNvSpPr>
            <a:spLocks noChangeArrowheads="1"/>
          </xdr:cNvSpPr>
        </xdr:nvSpPr>
        <xdr:spPr bwMode="auto">
          <a:xfrm>
            <a:off x="1556385" y="14795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57" name="Oval 1195">
            <a:extLst>
              <a:ext uri="{FF2B5EF4-FFF2-40B4-BE49-F238E27FC236}">
                <a16:creationId xmlns:a16="http://schemas.microsoft.com/office/drawing/2014/main" xmlns="" id="{00000000-0008-0000-0200-000001010000}"/>
              </a:ext>
            </a:extLst>
          </xdr:cNvPr>
          <xdr:cNvSpPr>
            <a:spLocks noChangeArrowheads="1"/>
          </xdr:cNvSpPr>
        </xdr:nvSpPr>
        <xdr:spPr bwMode="auto">
          <a:xfrm>
            <a:off x="1556385" y="14795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58" name="Rectangle 257">
            <a:extLst>
              <a:ext uri="{FF2B5EF4-FFF2-40B4-BE49-F238E27FC236}">
                <a16:creationId xmlns:a16="http://schemas.microsoft.com/office/drawing/2014/main" xmlns="" id="{00000000-0008-0000-0200-000002010000}"/>
              </a:ext>
            </a:extLst>
          </xdr:cNvPr>
          <xdr:cNvSpPr>
            <a:spLocks noChangeArrowheads="1"/>
          </xdr:cNvSpPr>
        </xdr:nvSpPr>
        <xdr:spPr bwMode="auto">
          <a:xfrm>
            <a:off x="1598930" y="14890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59" name="Oval 1197">
            <a:extLst>
              <a:ext uri="{FF2B5EF4-FFF2-40B4-BE49-F238E27FC236}">
                <a16:creationId xmlns:a16="http://schemas.microsoft.com/office/drawing/2014/main" xmlns="" id="{00000000-0008-0000-0200-000003010000}"/>
              </a:ext>
            </a:extLst>
          </xdr:cNvPr>
          <xdr:cNvSpPr>
            <a:spLocks noChangeArrowheads="1"/>
          </xdr:cNvSpPr>
        </xdr:nvSpPr>
        <xdr:spPr bwMode="auto">
          <a:xfrm>
            <a:off x="1556385" y="10191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0" name="Oval 1198">
            <a:extLst>
              <a:ext uri="{FF2B5EF4-FFF2-40B4-BE49-F238E27FC236}">
                <a16:creationId xmlns:a16="http://schemas.microsoft.com/office/drawing/2014/main" xmlns="" id="{00000000-0008-0000-0200-000004010000}"/>
              </a:ext>
            </a:extLst>
          </xdr:cNvPr>
          <xdr:cNvSpPr>
            <a:spLocks noChangeArrowheads="1"/>
          </xdr:cNvSpPr>
        </xdr:nvSpPr>
        <xdr:spPr bwMode="auto">
          <a:xfrm>
            <a:off x="1556385" y="10191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1" name="Rectangle 260">
            <a:extLst>
              <a:ext uri="{FF2B5EF4-FFF2-40B4-BE49-F238E27FC236}">
                <a16:creationId xmlns:a16="http://schemas.microsoft.com/office/drawing/2014/main" xmlns="" id="{00000000-0008-0000-0200-000005010000}"/>
              </a:ext>
            </a:extLst>
          </xdr:cNvPr>
          <xdr:cNvSpPr>
            <a:spLocks noChangeArrowheads="1"/>
          </xdr:cNvSpPr>
        </xdr:nvSpPr>
        <xdr:spPr bwMode="auto">
          <a:xfrm>
            <a:off x="1598930" y="10350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2" name="Oval 1200">
            <a:extLst>
              <a:ext uri="{FF2B5EF4-FFF2-40B4-BE49-F238E27FC236}">
                <a16:creationId xmlns:a16="http://schemas.microsoft.com/office/drawing/2014/main" xmlns="" id="{00000000-0008-0000-0200-000006010000}"/>
              </a:ext>
            </a:extLst>
          </xdr:cNvPr>
          <xdr:cNvSpPr>
            <a:spLocks noChangeArrowheads="1"/>
          </xdr:cNvSpPr>
        </xdr:nvSpPr>
        <xdr:spPr bwMode="auto">
          <a:xfrm>
            <a:off x="4064000" y="14833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3" name="Oval 1201">
            <a:extLst>
              <a:ext uri="{FF2B5EF4-FFF2-40B4-BE49-F238E27FC236}">
                <a16:creationId xmlns:a16="http://schemas.microsoft.com/office/drawing/2014/main" xmlns="" id="{00000000-0008-0000-0200-000007010000}"/>
              </a:ext>
            </a:extLst>
          </xdr:cNvPr>
          <xdr:cNvSpPr>
            <a:spLocks noChangeArrowheads="1"/>
          </xdr:cNvSpPr>
        </xdr:nvSpPr>
        <xdr:spPr bwMode="auto">
          <a:xfrm>
            <a:off x="4064000" y="14833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4" name="Rectangle 263">
            <a:extLst>
              <a:ext uri="{FF2B5EF4-FFF2-40B4-BE49-F238E27FC236}">
                <a16:creationId xmlns:a16="http://schemas.microsoft.com/office/drawing/2014/main" xmlns="" id="{00000000-0008-0000-0200-000008010000}"/>
              </a:ext>
            </a:extLst>
          </xdr:cNvPr>
          <xdr:cNvSpPr>
            <a:spLocks noChangeArrowheads="1"/>
          </xdr:cNvSpPr>
        </xdr:nvSpPr>
        <xdr:spPr bwMode="auto">
          <a:xfrm>
            <a:off x="4107180" y="14928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5" name="Oval 1203">
            <a:extLst>
              <a:ext uri="{FF2B5EF4-FFF2-40B4-BE49-F238E27FC236}">
                <a16:creationId xmlns:a16="http://schemas.microsoft.com/office/drawing/2014/main" xmlns="" id="{00000000-0008-0000-0200-000009010000}"/>
              </a:ext>
            </a:extLst>
          </xdr:cNvPr>
          <xdr:cNvSpPr>
            <a:spLocks noChangeArrowheads="1"/>
          </xdr:cNvSpPr>
        </xdr:nvSpPr>
        <xdr:spPr bwMode="auto">
          <a:xfrm>
            <a:off x="4064000" y="10236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6" name="Oval 1204">
            <a:extLst>
              <a:ext uri="{FF2B5EF4-FFF2-40B4-BE49-F238E27FC236}">
                <a16:creationId xmlns:a16="http://schemas.microsoft.com/office/drawing/2014/main" xmlns="" id="{00000000-0008-0000-0200-00000A010000}"/>
              </a:ext>
            </a:extLst>
          </xdr:cNvPr>
          <xdr:cNvSpPr>
            <a:spLocks noChangeArrowheads="1"/>
          </xdr:cNvSpPr>
        </xdr:nvSpPr>
        <xdr:spPr bwMode="auto">
          <a:xfrm>
            <a:off x="4064000" y="10236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7" name="Rectangle 266">
            <a:extLst>
              <a:ext uri="{FF2B5EF4-FFF2-40B4-BE49-F238E27FC236}">
                <a16:creationId xmlns:a16="http://schemas.microsoft.com/office/drawing/2014/main" xmlns="" id="{00000000-0008-0000-0200-00000B010000}"/>
              </a:ext>
            </a:extLst>
          </xdr:cNvPr>
          <xdr:cNvSpPr>
            <a:spLocks noChangeArrowheads="1"/>
          </xdr:cNvSpPr>
        </xdr:nvSpPr>
        <xdr:spPr bwMode="auto">
          <a:xfrm>
            <a:off x="4107180" y="10382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8" name="Freeform 1206">
            <a:extLst>
              <a:ext uri="{FF2B5EF4-FFF2-40B4-BE49-F238E27FC236}">
                <a16:creationId xmlns:a16="http://schemas.microsoft.com/office/drawing/2014/main" xmlns="" id="{00000000-0008-0000-0200-00000C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69" name="Freeform 1207">
            <a:extLst>
              <a:ext uri="{FF2B5EF4-FFF2-40B4-BE49-F238E27FC236}">
                <a16:creationId xmlns:a16="http://schemas.microsoft.com/office/drawing/2014/main" xmlns="" id="{00000000-0008-0000-0200-00000D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0" name="Rectangle 269">
            <a:extLst>
              <a:ext uri="{FF2B5EF4-FFF2-40B4-BE49-F238E27FC236}">
                <a16:creationId xmlns:a16="http://schemas.microsoft.com/office/drawing/2014/main" xmlns="" id="{00000000-0008-0000-0200-00000E010000}"/>
              </a:ext>
            </a:extLst>
          </xdr:cNvPr>
          <xdr:cNvSpPr>
            <a:spLocks noChangeArrowheads="1"/>
          </xdr:cNvSpPr>
        </xdr:nvSpPr>
        <xdr:spPr bwMode="auto">
          <a:xfrm>
            <a:off x="4988559" y="1257300"/>
            <a:ext cx="3968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1" name="Freeform 1209">
            <a:extLst>
              <a:ext uri="{FF2B5EF4-FFF2-40B4-BE49-F238E27FC236}">
                <a16:creationId xmlns:a16="http://schemas.microsoft.com/office/drawing/2014/main" xmlns="" id="{00000000-0008-0000-0200-00000F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72" name="Freeform 1210">
            <a:extLst>
              <a:ext uri="{FF2B5EF4-FFF2-40B4-BE49-F238E27FC236}">
                <a16:creationId xmlns:a16="http://schemas.microsoft.com/office/drawing/2014/main" xmlns="" id="{00000000-0008-0000-0200-000010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3" name="Rectangle 272">
            <a:extLst>
              <a:ext uri="{FF2B5EF4-FFF2-40B4-BE49-F238E27FC236}">
                <a16:creationId xmlns:a16="http://schemas.microsoft.com/office/drawing/2014/main" xmlns="" id="{00000000-0008-0000-0200-000011010000}"/>
              </a:ext>
            </a:extLst>
          </xdr:cNvPr>
          <xdr:cNvSpPr>
            <a:spLocks noChangeArrowheads="1"/>
          </xdr:cNvSpPr>
        </xdr:nvSpPr>
        <xdr:spPr bwMode="auto">
          <a:xfrm>
            <a:off x="2022475" y="1257300"/>
            <a:ext cx="423545" cy="14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74" name="Line 1212">
            <a:extLst>
              <a:ext uri="{FF2B5EF4-FFF2-40B4-BE49-F238E27FC236}">
                <a16:creationId xmlns:a16="http://schemas.microsoft.com/office/drawing/2014/main" xmlns="" id="{00000000-0008-0000-0200-000012010000}"/>
              </a:ext>
            </a:extLst>
          </xdr:cNvPr>
          <xdr:cNvCxnSpPr/>
        </xdr:nvCxnSpPr>
        <xdr:spPr bwMode="auto">
          <a:xfrm>
            <a:off x="5102225" y="10795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275" name="Line 1213">
            <a:extLst>
              <a:ext uri="{FF2B5EF4-FFF2-40B4-BE49-F238E27FC236}">
                <a16:creationId xmlns:a16="http://schemas.microsoft.com/office/drawing/2014/main" xmlns="" id="{00000000-0008-0000-0200-000013010000}"/>
              </a:ext>
            </a:extLst>
          </xdr:cNvPr>
          <xdr:cNvCxnSpPr/>
        </xdr:nvCxnSpPr>
        <xdr:spPr bwMode="auto">
          <a:xfrm>
            <a:off x="2141220" y="10795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76" name="Rectangle 275">
            <a:extLst>
              <a:ext uri="{FF2B5EF4-FFF2-40B4-BE49-F238E27FC236}">
                <a16:creationId xmlns:a16="http://schemas.microsoft.com/office/drawing/2014/main" xmlns="" id="{00000000-0008-0000-0200-000014010000}"/>
              </a:ext>
            </a:extLst>
          </xdr:cNvPr>
          <xdr:cNvSpPr>
            <a:spLocks noChangeArrowheads="1"/>
          </xdr:cNvSpPr>
        </xdr:nvSpPr>
        <xdr:spPr bwMode="auto">
          <a:xfrm>
            <a:off x="2672715" y="1364615"/>
            <a:ext cx="1080135" cy="3835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77" name="Rectangle 276">
            <a:extLst>
              <a:ext uri="{FF2B5EF4-FFF2-40B4-BE49-F238E27FC236}">
                <a16:creationId xmlns:a16="http://schemas.microsoft.com/office/drawing/2014/main" xmlns="" id="{00000000-0008-0000-0200-000015010000}"/>
              </a:ext>
            </a:extLst>
          </xdr:cNvPr>
          <xdr:cNvSpPr>
            <a:spLocks noChangeArrowheads="1"/>
          </xdr:cNvSpPr>
        </xdr:nvSpPr>
        <xdr:spPr bwMode="auto">
          <a:xfrm>
            <a:off x="2672715" y="13646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8" name="Rectangle 277">
            <a:extLst>
              <a:ext uri="{FF2B5EF4-FFF2-40B4-BE49-F238E27FC236}">
                <a16:creationId xmlns:a16="http://schemas.microsoft.com/office/drawing/2014/main" xmlns="" id="{00000000-0008-0000-0200-000016010000}"/>
              </a:ext>
            </a:extLst>
          </xdr:cNvPr>
          <xdr:cNvSpPr>
            <a:spLocks noChangeArrowheads="1"/>
          </xdr:cNvSpPr>
        </xdr:nvSpPr>
        <xdr:spPr bwMode="auto">
          <a:xfrm>
            <a:off x="2743200" y="1489075"/>
            <a:ext cx="102870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9" name="Freeform 1217">
            <a:extLst>
              <a:ext uri="{FF2B5EF4-FFF2-40B4-BE49-F238E27FC236}">
                <a16:creationId xmlns:a16="http://schemas.microsoft.com/office/drawing/2014/main" xmlns="" id="{00000000-0008-0000-0200-000017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80" name="Freeform 1218">
            <a:extLst>
              <a:ext uri="{FF2B5EF4-FFF2-40B4-BE49-F238E27FC236}">
                <a16:creationId xmlns:a16="http://schemas.microsoft.com/office/drawing/2014/main" xmlns="" id="{00000000-0008-0000-0200-000018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1" name="Rectangle 280">
            <a:extLst>
              <a:ext uri="{FF2B5EF4-FFF2-40B4-BE49-F238E27FC236}">
                <a16:creationId xmlns:a16="http://schemas.microsoft.com/office/drawing/2014/main" xmlns="" id="{00000000-0008-0000-0200-000019010000}"/>
              </a:ext>
            </a:extLst>
          </xdr:cNvPr>
          <xdr:cNvSpPr>
            <a:spLocks noChangeArrowheads="1"/>
          </xdr:cNvSpPr>
        </xdr:nvSpPr>
        <xdr:spPr bwMode="auto">
          <a:xfrm>
            <a:off x="130810" y="2171700"/>
            <a:ext cx="326390" cy="127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2" name="Freeform 1220">
            <a:extLst>
              <a:ext uri="{FF2B5EF4-FFF2-40B4-BE49-F238E27FC236}">
                <a16:creationId xmlns:a16="http://schemas.microsoft.com/office/drawing/2014/main" xmlns="" id="{00000000-0008-0000-0200-00001A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83" name="Freeform 1221">
            <a:extLst>
              <a:ext uri="{FF2B5EF4-FFF2-40B4-BE49-F238E27FC236}">
                <a16:creationId xmlns:a16="http://schemas.microsoft.com/office/drawing/2014/main" xmlns="" id="{00000000-0008-0000-0200-00001B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4" name="Rectangle 283">
            <a:extLst>
              <a:ext uri="{FF2B5EF4-FFF2-40B4-BE49-F238E27FC236}">
                <a16:creationId xmlns:a16="http://schemas.microsoft.com/office/drawing/2014/main" xmlns="" id="{00000000-0008-0000-0200-00001C010000}"/>
              </a:ext>
            </a:extLst>
          </xdr:cNvPr>
          <xdr:cNvSpPr>
            <a:spLocks noChangeArrowheads="1"/>
          </xdr:cNvSpPr>
        </xdr:nvSpPr>
        <xdr:spPr bwMode="auto">
          <a:xfrm>
            <a:off x="130810" y="2493645"/>
            <a:ext cx="32639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5" name="Oval 1223">
            <a:extLst>
              <a:ext uri="{FF2B5EF4-FFF2-40B4-BE49-F238E27FC236}">
                <a16:creationId xmlns:a16="http://schemas.microsoft.com/office/drawing/2014/main" xmlns="" id="{00000000-0008-0000-0200-00001D010000}"/>
              </a:ext>
            </a:extLst>
          </xdr:cNvPr>
          <xdr:cNvSpPr>
            <a:spLocks noChangeArrowheads="1"/>
          </xdr:cNvSpPr>
        </xdr:nvSpPr>
        <xdr:spPr bwMode="auto">
          <a:xfrm>
            <a:off x="175260" y="27698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86" name="Freeform 1224">
            <a:extLst>
              <a:ext uri="{FF2B5EF4-FFF2-40B4-BE49-F238E27FC236}">
                <a16:creationId xmlns:a16="http://schemas.microsoft.com/office/drawing/2014/main" xmlns="" id="{00000000-0008-0000-0200-00001E010000}"/>
              </a:ext>
            </a:extLst>
          </xdr:cNvPr>
          <xdr:cNvSpPr>
            <a:spLocks/>
          </xdr:cNvSpPr>
        </xdr:nvSpPr>
        <xdr:spPr bwMode="auto">
          <a:xfrm>
            <a:off x="175260" y="27698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7" name="Rectangle 286">
            <a:extLst>
              <a:ext uri="{FF2B5EF4-FFF2-40B4-BE49-F238E27FC236}">
                <a16:creationId xmlns:a16="http://schemas.microsoft.com/office/drawing/2014/main" xmlns="" id="{00000000-0008-0000-0200-00001F010000}"/>
              </a:ext>
            </a:extLst>
          </xdr:cNvPr>
          <xdr:cNvSpPr>
            <a:spLocks noChangeArrowheads="1"/>
          </xdr:cNvSpPr>
        </xdr:nvSpPr>
        <xdr:spPr bwMode="auto">
          <a:xfrm>
            <a:off x="220345" y="27793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8" name="Rectangle 287">
            <a:extLst>
              <a:ext uri="{FF2B5EF4-FFF2-40B4-BE49-F238E27FC236}">
                <a16:creationId xmlns:a16="http://schemas.microsoft.com/office/drawing/2014/main" xmlns="" id="{00000000-0008-0000-0200-000020010000}"/>
              </a:ext>
            </a:extLst>
          </xdr:cNvPr>
          <xdr:cNvSpPr>
            <a:spLocks noChangeArrowheads="1"/>
          </xdr:cNvSpPr>
        </xdr:nvSpPr>
        <xdr:spPr bwMode="auto">
          <a:xfrm>
            <a:off x="605155" y="21691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89" name="Rectangle 288">
            <a:extLst>
              <a:ext uri="{FF2B5EF4-FFF2-40B4-BE49-F238E27FC236}">
                <a16:creationId xmlns:a16="http://schemas.microsoft.com/office/drawing/2014/main" xmlns="" id="{00000000-0008-0000-0200-000021010000}"/>
              </a:ext>
            </a:extLst>
          </xdr:cNvPr>
          <xdr:cNvSpPr>
            <a:spLocks noChangeArrowheads="1"/>
          </xdr:cNvSpPr>
        </xdr:nvSpPr>
        <xdr:spPr bwMode="auto">
          <a:xfrm>
            <a:off x="605155" y="21691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0" name="Rectangle 289">
            <a:extLst>
              <a:ext uri="{FF2B5EF4-FFF2-40B4-BE49-F238E27FC236}">
                <a16:creationId xmlns:a16="http://schemas.microsoft.com/office/drawing/2014/main" xmlns="" id="{00000000-0008-0000-0200-000022010000}"/>
              </a:ext>
            </a:extLst>
          </xdr:cNvPr>
          <xdr:cNvSpPr>
            <a:spLocks noChangeArrowheads="1"/>
          </xdr:cNvSpPr>
        </xdr:nvSpPr>
        <xdr:spPr bwMode="auto">
          <a:xfrm>
            <a:off x="643890" y="21717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1" name="Rectangle 290">
            <a:extLst>
              <a:ext uri="{FF2B5EF4-FFF2-40B4-BE49-F238E27FC236}">
                <a16:creationId xmlns:a16="http://schemas.microsoft.com/office/drawing/2014/main" xmlns="" id="{00000000-0008-0000-0200-000023010000}"/>
              </a:ext>
            </a:extLst>
          </xdr:cNvPr>
          <xdr:cNvSpPr>
            <a:spLocks noChangeArrowheads="1"/>
          </xdr:cNvSpPr>
        </xdr:nvSpPr>
        <xdr:spPr bwMode="auto">
          <a:xfrm>
            <a:off x="617220" y="27819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2" name="Rectangle 291">
            <a:extLst>
              <a:ext uri="{FF2B5EF4-FFF2-40B4-BE49-F238E27FC236}">
                <a16:creationId xmlns:a16="http://schemas.microsoft.com/office/drawing/2014/main" xmlns="" id="{00000000-0008-0000-0200-000024010000}"/>
              </a:ext>
            </a:extLst>
          </xdr:cNvPr>
          <xdr:cNvSpPr>
            <a:spLocks noChangeArrowheads="1"/>
          </xdr:cNvSpPr>
        </xdr:nvSpPr>
        <xdr:spPr bwMode="auto">
          <a:xfrm>
            <a:off x="617220" y="27819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3" name="Rectangle 292">
            <a:extLst>
              <a:ext uri="{FF2B5EF4-FFF2-40B4-BE49-F238E27FC236}">
                <a16:creationId xmlns:a16="http://schemas.microsoft.com/office/drawing/2014/main" xmlns="" id="{00000000-0008-0000-0200-000025010000}"/>
              </a:ext>
            </a:extLst>
          </xdr:cNvPr>
          <xdr:cNvSpPr>
            <a:spLocks noChangeArrowheads="1"/>
          </xdr:cNvSpPr>
        </xdr:nvSpPr>
        <xdr:spPr bwMode="auto">
          <a:xfrm>
            <a:off x="652780" y="28098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4" name="Rectangle 293">
            <a:extLst>
              <a:ext uri="{FF2B5EF4-FFF2-40B4-BE49-F238E27FC236}">
                <a16:creationId xmlns:a16="http://schemas.microsoft.com/office/drawing/2014/main" xmlns="" id="{00000000-0008-0000-0200-000026010000}"/>
              </a:ext>
            </a:extLst>
          </xdr:cNvPr>
          <xdr:cNvSpPr>
            <a:spLocks noChangeArrowheads="1"/>
          </xdr:cNvSpPr>
        </xdr:nvSpPr>
        <xdr:spPr bwMode="auto">
          <a:xfrm>
            <a:off x="610235" y="24758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5" name="Rectangle 294">
            <a:extLst>
              <a:ext uri="{FF2B5EF4-FFF2-40B4-BE49-F238E27FC236}">
                <a16:creationId xmlns:a16="http://schemas.microsoft.com/office/drawing/2014/main" xmlns="" id="{00000000-0008-0000-0200-000027010000}"/>
              </a:ext>
            </a:extLst>
          </xdr:cNvPr>
          <xdr:cNvSpPr>
            <a:spLocks noChangeArrowheads="1"/>
          </xdr:cNvSpPr>
        </xdr:nvSpPr>
        <xdr:spPr bwMode="auto">
          <a:xfrm>
            <a:off x="610235" y="24758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6" name="Rectangle 295">
            <a:extLst>
              <a:ext uri="{FF2B5EF4-FFF2-40B4-BE49-F238E27FC236}">
                <a16:creationId xmlns:a16="http://schemas.microsoft.com/office/drawing/2014/main" xmlns="" id="{00000000-0008-0000-0200-000028010000}"/>
              </a:ext>
            </a:extLst>
          </xdr:cNvPr>
          <xdr:cNvSpPr>
            <a:spLocks noChangeArrowheads="1"/>
          </xdr:cNvSpPr>
        </xdr:nvSpPr>
        <xdr:spPr bwMode="auto">
          <a:xfrm>
            <a:off x="652780" y="2514600"/>
            <a:ext cx="16332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7" name="Freeform 1235">
            <a:extLst>
              <a:ext uri="{FF2B5EF4-FFF2-40B4-BE49-F238E27FC236}">
                <a16:creationId xmlns:a16="http://schemas.microsoft.com/office/drawing/2014/main" xmlns="" id="{00000000-0008-0000-0200-000029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98" name="Freeform 1236">
            <a:extLst>
              <a:ext uri="{FF2B5EF4-FFF2-40B4-BE49-F238E27FC236}">
                <a16:creationId xmlns:a16="http://schemas.microsoft.com/office/drawing/2014/main" xmlns="" id="{00000000-0008-0000-0200-00002A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9" name="Rectangle 298">
            <a:extLst>
              <a:ext uri="{FF2B5EF4-FFF2-40B4-BE49-F238E27FC236}">
                <a16:creationId xmlns:a16="http://schemas.microsoft.com/office/drawing/2014/main" xmlns="" id="{00000000-0008-0000-0200-00002B010000}"/>
              </a:ext>
            </a:extLst>
          </xdr:cNvPr>
          <xdr:cNvSpPr>
            <a:spLocks noChangeArrowheads="1"/>
          </xdr:cNvSpPr>
        </xdr:nvSpPr>
        <xdr:spPr bwMode="auto">
          <a:xfrm>
            <a:off x="2715895" y="21717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00" name="Line 1238">
            <a:extLst>
              <a:ext uri="{FF2B5EF4-FFF2-40B4-BE49-F238E27FC236}">
                <a16:creationId xmlns:a16="http://schemas.microsoft.com/office/drawing/2014/main" xmlns="" id="{00000000-0008-0000-0200-00002C010000}"/>
              </a:ext>
            </a:extLst>
          </xdr:cNvPr>
          <xdr:cNvCxnSpPr/>
        </xdr:nvCxnSpPr>
        <xdr:spPr bwMode="auto">
          <a:xfrm flipV="1">
            <a:off x="2831465" y="2016126"/>
            <a:ext cx="635"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1" name="Freeform 1239">
            <a:extLst>
              <a:ext uri="{FF2B5EF4-FFF2-40B4-BE49-F238E27FC236}">
                <a16:creationId xmlns:a16="http://schemas.microsoft.com/office/drawing/2014/main" xmlns="" id="{00000000-0008-0000-0200-00002D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02" name="Freeform 1240">
            <a:extLst>
              <a:ext uri="{FF2B5EF4-FFF2-40B4-BE49-F238E27FC236}">
                <a16:creationId xmlns:a16="http://schemas.microsoft.com/office/drawing/2014/main" xmlns="" id="{00000000-0008-0000-0200-00002E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3" name="Rectangle 302">
            <a:extLst>
              <a:ext uri="{FF2B5EF4-FFF2-40B4-BE49-F238E27FC236}">
                <a16:creationId xmlns:a16="http://schemas.microsoft.com/office/drawing/2014/main" xmlns="" id="{00000000-0008-0000-0200-00002F010000}"/>
              </a:ext>
            </a:extLst>
          </xdr:cNvPr>
          <xdr:cNvSpPr>
            <a:spLocks noChangeArrowheads="1"/>
          </xdr:cNvSpPr>
        </xdr:nvSpPr>
        <xdr:spPr bwMode="auto">
          <a:xfrm>
            <a:off x="3466465" y="2171700"/>
            <a:ext cx="49593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04" name="Line 1242">
            <a:extLst>
              <a:ext uri="{FF2B5EF4-FFF2-40B4-BE49-F238E27FC236}">
                <a16:creationId xmlns:a16="http://schemas.microsoft.com/office/drawing/2014/main" xmlns="" id="{00000000-0008-0000-0200-000030010000}"/>
              </a:ext>
            </a:extLst>
          </xdr:cNvPr>
          <xdr:cNvCxnSpPr/>
        </xdr:nvCxnSpPr>
        <xdr:spPr bwMode="auto">
          <a:xfrm flipV="1">
            <a:off x="3586480" y="2016126"/>
            <a:ext cx="1270"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5" name="Rectangle 304">
            <a:extLst>
              <a:ext uri="{FF2B5EF4-FFF2-40B4-BE49-F238E27FC236}">
                <a16:creationId xmlns:a16="http://schemas.microsoft.com/office/drawing/2014/main" xmlns="" id="{00000000-0008-0000-0200-000031010000}"/>
              </a:ext>
            </a:extLst>
          </xdr:cNvPr>
          <xdr:cNvSpPr>
            <a:spLocks noChangeArrowheads="1"/>
          </xdr:cNvSpPr>
        </xdr:nvSpPr>
        <xdr:spPr bwMode="auto">
          <a:xfrm>
            <a:off x="2677795" y="23996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6" name="Rectangle 305">
            <a:extLst>
              <a:ext uri="{FF2B5EF4-FFF2-40B4-BE49-F238E27FC236}">
                <a16:creationId xmlns:a16="http://schemas.microsoft.com/office/drawing/2014/main" xmlns="" id="{00000000-0008-0000-0200-000032010000}"/>
              </a:ext>
            </a:extLst>
          </xdr:cNvPr>
          <xdr:cNvSpPr>
            <a:spLocks noChangeArrowheads="1"/>
          </xdr:cNvSpPr>
        </xdr:nvSpPr>
        <xdr:spPr bwMode="auto">
          <a:xfrm>
            <a:off x="2677795" y="23996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7" name="Rectangle 306">
            <a:extLst>
              <a:ext uri="{FF2B5EF4-FFF2-40B4-BE49-F238E27FC236}">
                <a16:creationId xmlns:a16="http://schemas.microsoft.com/office/drawing/2014/main" xmlns="" id="{00000000-0008-0000-0200-000033010000}"/>
              </a:ext>
            </a:extLst>
          </xdr:cNvPr>
          <xdr:cNvSpPr>
            <a:spLocks noChangeArrowheads="1"/>
          </xdr:cNvSpPr>
        </xdr:nvSpPr>
        <xdr:spPr bwMode="auto">
          <a:xfrm>
            <a:off x="2715895" y="24142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08" name="Rectangle 307">
            <a:extLst>
              <a:ext uri="{FF2B5EF4-FFF2-40B4-BE49-F238E27FC236}">
                <a16:creationId xmlns:a16="http://schemas.microsoft.com/office/drawing/2014/main" xmlns="" id="{00000000-0008-0000-0200-000034010000}"/>
              </a:ext>
            </a:extLst>
          </xdr:cNvPr>
          <xdr:cNvSpPr>
            <a:spLocks noChangeArrowheads="1"/>
          </xdr:cNvSpPr>
        </xdr:nvSpPr>
        <xdr:spPr bwMode="auto">
          <a:xfrm>
            <a:off x="3364230" y="23996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9" name="Rectangle 308">
            <a:extLst>
              <a:ext uri="{FF2B5EF4-FFF2-40B4-BE49-F238E27FC236}">
                <a16:creationId xmlns:a16="http://schemas.microsoft.com/office/drawing/2014/main" xmlns="" id="{00000000-0008-0000-0200-000035010000}"/>
              </a:ext>
            </a:extLst>
          </xdr:cNvPr>
          <xdr:cNvSpPr>
            <a:spLocks noChangeArrowheads="1"/>
          </xdr:cNvSpPr>
        </xdr:nvSpPr>
        <xdr:spPr bwMode="auto">
          <a:xfrm>
            <a:off x="3364230" y="24003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10" name="Rectangle 309">
            <a:extLst>
              <a:ext uri="{FF2B5EF4-FFF2-40B4-BE49-F238E27FC236}">
                <a16:creationId xmlns:a16="http://schemas.microsoft.com/office/drawing/2014/main" xmlns="" id="{00000000-0008-0000-0200-000036010000}"/>
              </a:ext>
            </a:extLst>
          </xdr:cNvPr>
          <xdr:cNvSpPr>
            <a:spLocks noChangeArrowheads="1"/>
          </xdr:cNvSpPr>
        </xdr:nvSpPr>
        <xdr:spPr bwMode="auto">
          <a:xfrm>
            <a:off x="3409950" y="24142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11" name="Line 1249">
            <a:extLst>
              <a:ext uri="{FF2B5EF4-FFF2-40B4-BE49-F238E27FC236}">
                <a16:creationId xmlns:a16="http://schemas.microsoft.com/office/drawing/2014/main" xmlns="" id="{00000000-0008-0000-0200-000037010000}"/>
              </a:ext>
            </a:extLst>
          </xdr:cNvPr>
          <xdr:cNvCxnSpPr/>
        </xdr:nvCxnSpPr>
        <xdr:spPr bwMode="auto">
          <a:xfrm>
            <a:off x="4721860" y="34290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312" name="Freeform 1250">
            <a:extLst>
              <a:ext uri="{FF2B5EF4-FFF2-40B4-BE49-F238E27FC236}">
                <a16:creationId xmlns:a16="http://schemas.microsoft.com/office/drawing/2014/main" xmlns="" id="{00000000-0008-0000-0200-000038010000}"/>
              </a:ext>
            </a:extLst>
          </xdr:cNvPr>
          <xdr:cNvSpPr>
            <a:spLocks/>
          </xdr:cNvSpPr>
        </xdr:nvSpPr>
        <xdr:spPr bwMode="auto">
          <a:xfrm>
            <a:off x="0" y="308610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13" name="Rectangle 312">
            <a:extLst>
              <a:ext uri="{FF2B5EF4-FFF2-40B4-BE49-F238E27FC236}">
                <a16:creationId xmlns:a16="http://schemas.microsoft.com/office/drawing/2014/main" xmlns="" id="{00000000-0008-0000-0200-000039010000}"/>
              </a:ext>
            </a:extLst>
          </xdr:cNvPr>
          <xdr:cNvSpPr>
            <a:spLocks noChangeArrowheads="1"/>
          </xdr:cNvSpPr>
        </xdr:nvSpPr>
        <xdr:spPr bwMode="auto">
          <a:xfrm>
            <a:off x="652780" y="308673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4" name="Rectangle 313">
            <a:extLst>
              <a:ext uri="{FF2B5EF4-FFF2-40B4-BE49-F238E27FC236}">
                <a16:creationId xmlns:a16="http://schemas.microsoft.com/office/drawing/2014/main" xmlns="" id="{00000000-0008-0000-0200-00003A010000}"/>
              </a:ext>
            </a:extLst>
          </xdr:cNvPr>
          <xdr:cNvSpPr>
            <a:spLocks noChangeArrowheads="1"/>
          </xdr:cNvSpPr>
        </xdr:nvSpPr>
        <xdr:spPr bwMode="auto">
          <a:xfrm>
            <a:off x="114300" y="30861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5" name="Freeform 1253">
            <a:extLst>
              <a:ext uri="{FF2B5EF4-FFF2-40B4-BE49-F238E27FC236}">
                <a16:creationId xmlns:a16="http://schemas.microsoft.com/office/drawing/2014/main" xmlns="" id="{00000000-0008-0000-0200-00003B010000}"/>
              </a:ext>
            </a:extLst>
          </xdr:cNvPr>
          <xdr:cNvSpPr>
            <a:spLocks/>
          </xdr:cNvSpPr>
        </xdr:nvSpPr>
        <xdr:spPr bwMode="auto">
          <a:xfrm>
            <a:off x="2971800" y="27940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316" name="Line 1254">
            <a:extLst>
              <a:ext uri="{FF2B5EF4-FFF2-40B4-BE49-F238E27FC236}">
                <a16:creationId xmlns:a16="http://schemas.microsoft.com/office/drawing/2014/main" xmlns="" id="{00000000-0008-0000-0200-00003C010000}"/>
              </a:ext>
            </a:extLst>
          </xdr:cNvPr>
          <xdr:cNvCxnSpPr/>
        </xdr:nvCxnSpPr>
        <xdr:spPr bwMode="auto">
          <a:xfrm>
            <a:off x="3200400" y="4572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317" name="Rectangle 316">
            <a:extLst>
              <a:ext uri="{FF2B5EF4-FFF2-40B4-BE49-F238E27FC236}">
                <a16:creationId xmlns:a16="http://schemas.microsoft.com/office/drawing/2014/main" xmlns="" id="{00000000-0008-0000-0200-00003D010000}"/>
              </a:ext>
            </a:extLst>
          </xdr:cNvPr>
          <xdr:cNvSpPr>
            <a:spLocks noChangeArrowheads="1"/>
          </xdr:cNvSpPr>
        </xdr:nvSpPr>
        <xdr:spPr bwMode="auto">
          <a:xfrm>
            <a:off x="3086100" y="27940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20</xdr:col>
      <xdr:colOff>114300</xdr:colOff>
      <xdr:row>228</xdr:row>
      <xdr:rowOff>114300</xdr:rowOff>
    </xdr:from>
    <xdr:to>
      <xdr:col>28</xdr:col>
      <xdr:colOff>497840</xdr:colOff>
      <xdr:row>245</xdr:row>
      <xdr:rowOff>53340</xdr:rowOff>
    </xdr:to>
    <xdr:grpSp>
      <xdr:nvGrpSpPr>
        <xdr:cNvPr id="318" name="Zone de dessin 1544">
          <a:extLst>
            <a:ext uri="{FF2B5EF4-FFF2-40B4-BE49-F238E27FC236}">
              <a16:creationId xmlns:a16="http://schemas.microsoft.com/office/drawing/2014/main" xmlns="" id="{00000000-0008-0000-0200-00003E010000}"/>
            </a:ext>
          </a:extLst>
        </xdr:cNvPr>
        <xdr:cNvGrpSpPr/>
      </xdr:nvGrpSpPr>
      <xdr:grpSpPr>
        <a:xfrm>
          <a:off x="16830675" y="41238488"/>
          <a:ext cx="6479540" cy="3189446"/>
          <a:chOff x="0" y="0"/>
          <a:chExt cx="6479540" cy="3301365"/>
        </a:xfrm>
      </xdr:grpSpPr>
      <xdr:sp macro="" textlink="">
        <xdr:nvSpPr>
          <xdr:cNvPr id="319" name="Rectangle 318">
            <a:extLst>
              <a:ext uri="{FF2B5EF4-FFF2-40B4-BE49-F238E27FC236}">
                <a16:creationId xmlns:a16="http://schemas.microsoft.com/office/drawing/2014/main" xmlns="" id="{00000000-0008-0000-0200-00003F010000}"/>
              </a:ext>
            </a:extLst>
          </xdr:cNvPr>
          <xdr:cNvSpPr/>
        </xdr:nvSpPr>
        <xdr:spPr>
          <a:xfrm>
            <a:off x="0" y="0"/>
            <a:ext cx="6479540" cy="3301365"/>
          </a:xfrm>
          <a:prstGeom prst="rect">
            <a:avLst/>
          </a:prstGeom>
          <a:noFill/>
          <a:ln>
            <a:noFill/>
          </a:ln>
        </xdr:spPr>
      </xdr:sp>
      <xdr:sp macro="" textlink="">
        <xdr:nvSpPr>
          <xdr:cNvPr id="320" name="AutoShape 1546">
            <a:extLst>
              <a:ext uri="{FF2B5EF4-FFF2-40B4-BE49-F238E27FC236}">
                <a16:creationId xmlns:a16="http://schemas.microsoft.com/office/drawing/2014/main" xmlns="" id="{00000000-0008-0000-0200-000040010000}"/>
              </a:ext>
            </a:extLst>
          </xdr:cNvPr>
          <xdr:cNvSpPr>
            <a:spLocks noChangeAspect="1" noChangeArrowheads="1"/>
          </xdr:cNvSpPr>
        </xdr:nvSpPr>
        <xdr:spPr bwMode="auto">
          <a:xfrm>
            <a:off x="0" y="35179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1" name="Rectangle 320">
            <a:extLst>
              <a:ext uri="{FF2B5EF4-FFF2-40B4-BE49-F238E27FC236}">
                <a16:creationId xmlns:a16="http://schemas.microsoft.com/office/drawing/2014/main" xmlns="" id="{00000000-0008-0000-0200-000041010000}"/>
              </a:ext>
            </a:extLst>
          </xdr:cNvPr>
          <xdr:cNvSpPr>
            <a:spLocks noChangeArrowheads="1"/>
          </xdr:cNvSpPr>
        </xdr:nvSpPr>
        <xdr:spPr bwMode="auto">
          <a:xfrm>
            <a:off x="2595245" y="34290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2" name="Rectangle 321">
            <a:extLst>
              <a:ext uri="{FF2B5EF4-FFF2-40B4-BE49-F238E27FC236}">
                <a16:creationId xmlns:a16="http://schemas.microsoft.com/office/drawing/2014/main" xmlns="" id="{00000000-0008-0000-0200-000042010000}"/>
              </a:ext>
            </a:extLst>
          </xdr:cNvPr>
          <xdr:cNvSpPr>
            <a:spLocks noChangeArrowheads="1"/>
          </xdr:cNvSpPr>
        </xdr:nvSpPr>
        <xdr:spPr bwMode="auto">
          <a:xfrm>
            <a:off x="2595245" y="34290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23" name="Rectangle 322">
            <a:extLst>
              <a:ext uri="{FF2B5EF4-FFF2-40B4-BE49-F238E27FC236}">
                <a16:creationId xmlns:a16="http://schemas.microsoft.com/office/drawing/2014/main" xmlns="" id="{00000000-0008-0000-0200-000043010000}"/>
              </a:ext>
            </a:extLst>
          </xdr:cNvPr>
          <xdr:cNvSpPr>
            <a:spLocks noChangeArrowheads="1"/>
          </xdr:cNvSpPr>
        </xdr:nvSpPr>
        <xdr:spPr bwMode="auto">
          <a:xfrm>
            <a:off x="2819400" y="75184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21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24" name="Line 1550">
            <a:extLst>
              <a:ext uri="{FF2B5EF4-FFF2-40B4-BE49-F238E27FC236}">
                <a16:creationId xmlns:a16="http://schemas.microsoft.com/office/drawing/2014/main" xmlns="" id="{00000000-0008-0000-0200-000044010000}"/>
              </a:ext>
            </a:extLst>
          </xdr:cNvPr>
          <xdr:cNvCxnSpPr/>
        </xdr:nvCxnSpPr>
        <xdr:spPr bwMode="auto">
          <a:xfrm>
            <a:off x="3829050" y="49593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5" name="Line 1551">
            <a:extLst>
              <a:ext uri="{FF2B5EF4-FFF2-40B4-BE49-F238E27FC236}">
                <a16:creationId xmlns:a16="http://schemas.microsoft.com/office/drawing/2014/main" xmlns="" id="{00000000-0008-0000-0200-000045010000}"/>
              </a:ext>
            </a:extLst>
          </xdr:cNvPr>
          <xdr:cNvCxnSpPr/>
        </xdr:nvCxnSpPr>
        <xdr:spPr bwMode="auto">
          <a:xfrm flipH="1">
            <a:off x="3909060" y="126619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6" name="Freeform 1552">
            <a:extLst>
              <a:ext uri="{FF2B5EF4-FFF2-40B4-BE49-F238E27FC236}">
                <a16:creationId xmlns:a16="http://schemas.microsoft.com/office/drawing/2014/main" xmlns="" id="{00000000-0008-0000-0200-000046010000}"/>
              </a:ext>
            </a:extLst>
          </xdr:cNvPr>
          <xdr:cNvSpPr>
            <a:spLocks/>
          </xdr:cNvSpPr>
        </xdr:nvSpPr>
        <xdr:spPr bwMode="auto">
          <a:xfrm>
            <a:off x="3829050" y="122047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7" name="Line 1553">
            <a:extLst>
              <a:ext uri="{FF2B5EF4-FFF2-40B4-BE49-F238E27FC236}">
                <a16:creationId xmlns:a16="http://schemas.microsoft.com/office/drawing/2014/main" xmlns="" id="{00000000-0008-0000-0200-000047010000}"/>
              </a:ext>
            </a:extLst>
          </xdr:cNvPr>
          <xdr:cNvCxnSpPr/>
        </xdr:nvCxnSpPr>
        <xdr:spPr bwMode="auto">
          <a:xfrm flipH="1">
            <a:off x="3909060" y="24968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8" name="Freeform 1554">
            <a:extLst>
              <a:ext uri="{FF2B5EF4-FFF2-40B4-BE49-F238E27FC236}">
                <a16:creationId xmlns:a16="http://schemas.microsoft.com/office/drawing/2014/main" xmlns="" id="{00000000-0008-0000-0200-000048010000}"/>
              </a:ext>
            </a:extLst>
          </xdr:cNvPr>
          <xdr:cNvSpPr>
            <a:spLocks/>
          </xdr:cNvSpPr>
        </xdr:nvSpPr>
        <xdr:spPr bwMode="auto">
          <a:xfrm>
            <a:off x="3829050" y="245046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9" name="Line 1555">
            <a:extLst>
              <a:ext uri="{FF2B5EF4-FFF2-40B4-BE49-F238E27FC236}">
                <a16:creationId xmlns:a16="http://schemas.microsoft.com/office/drawing/2014/main" xmlns="" id="{00000000-0008-0000-0200-000049010000}"/>
              </a:ext>
            </a:extLst>
          </xdr:cNvPr>
          <xdr:cNvCxnSpPr/>
        </xdr:nvCxnSpPr>
        <xdr:spPr bwMode="auto">
          <a:xfrm>
            <a:off x="3829050" y="172783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30" name="Line 1556">
            <a:extLst>
              <a:ext uri="{FF2B5EF4-FFF2-40B4-BE49-F238E27FC236}">
                <a16:creationId xmlns:a16="http://schemas.microsoft.com/office/drawing/2014/main" xmlns="" id="{00000000-0008-0000-0200-00004A010000}"/>
              </a:ext>
            </a:extLst>
          </xdr:cNvPr>
          <xdr:cNvCxnSpPr/>
        </xdr:nvCxnSpPr>
        <xdr:spPr bwMode="auto">
          <a:xfrm flipH="1">
            <a:off x="1094105" y="111188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31" name="Oval 1557">
            <a:extLst>
              <a:ext uri="{FF2B5EF4-FFF2-40B4-BE49-F238E27FC236}">
                <a16:creationId xmlns:a16="http://schemas.microsoft.com/office/drawing/2014/main" xmlns="" id="{00000000-0008-0000-0200-00004B010000}"/>
              </a:ext>
            </a:extLst>
          </xdr:cNvPr>
          <xdr:cNvSpPr>
            <a:spLocks noChangeArrowheads="1"/>
          </xdr:cNvSpPr>
        </xdr:nvSpPr>
        <xdr:spPr bwMode="auto">
          <a:xfrm>
            <a:off x="4895215" y="35560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32" name="Oval 1558">
            <a:extLst>
              <a:ext uri="{FF2B5EF4-FFF2-40B4-BE49-F238E27FC236}">
                <a16:creationId xmlns:a16="http://schemas.microsoft.com/office/drawing/2014/main" xmlns="" id="{00000000-0008-0000-0200-00004C010000}"/>
              </a:ext>
            </a:extLst>
          </xdr:cNvPr>
          <xdr:cNvSpPr>
            <a:spLocks noChangeArrowheads="1"/>
          </xdr:cNvSpPr>
        </xdr:nvSpPr>
        <xdr:spPr bwMode="auto">
          <a:xfrm>
            <a:off x="4895215" y="35560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3" name="Rectangle 332">
            <a:extLst>
              <a:ext uri="{FF2B5EF4-FFF2-40B4-BE49-F238E27FC236}">
                <a16:creationId xmlns:a16="http://schemas.microsoft.com/office/drawing/2014/main" xmlns="" id="{00000000-0008-0000-0200-00004D010000}"/>
              </a:ext>
            </a:extLst>
          </xdr:cNvPr>
          <xdr:cNvSpPr>
            <a:spLocks noChangeArrowheads="1"/>
          </xdr:cNvSpPr>
        </xdr:nvSpPr>
        <xdr:spPr bwMode="auto">
          <a:xfrm>
            <a:off x="4984750" y="39751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4" name="Rectangle 333">
            <a:extLst>
              <a:ext uri="{FF2B5EF4-FFF2-40B4-BE49-F238E27FC236}">
                <a16:creationId xmlns:a16="http://schemas.microsoft.com/office/drawing/2014/main" xmlns="" id="{00000000-0008-0000-0200-00004E010000}"/>
              </a:ext>
            </a:extLst>
          </xdr:cNvPr>
          <xdr:cNvSpPr>
            <a:spLocks noChangeArrowheads="1"/>
          </xdr:cNvSpPr>
        </xdr:nvSpPr>
        <xdr:spPr bwMode="auto">
          <a:xfrm>
            <a:off x="15240" y="95758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5" name="Rectangle 334">
            <a:extLst>
              <a:ext uri="{FF2B5EF4-FFF2-40B4-BE49-F238E27FC236}">
                <a16:creationId xmlns:a16="http://schemas.microsoft.com/office/drawing/2014/main" xmlns="" id="{00000000-0008-0000-0200-00004F010000}"/>
              </a:ext>
            </a:extLst>
          </xdr:cNvPr>
          <xdr:cNvSpPr>
            <a:spLocks noChangeArrowheads="1"/>
          </xdr:cNvSpPr>
        </xdr:nvSpPr>
        <xdr:spPr bwMode="auto">
          <a:xfrm>
            <a:off x="15240" y="95758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6" name="Rectangle 335">
            <a:extLst>
              <a:ext uri="{FF2B5EF4-FFF2-40B4-BE49-F238E27FC236}">
                <a16:creationId xmlns:a16="http://schemas.microsoft.com/office/drawing/2014/main" xmlns="" id="{00000000-0008-0000-0200-000050010000}"/>
              </a:ext>
            </a:extLst>
          </xdr:cNvPr>
          <xdr:cNvSpPr>
            <a:spLocks noChangeArrowheads="1"/>
          </xdr:cNvSpPr>
        </xdr:nvSpPr>
        <xdr:spPr bwMode="auto">
          <a:xfrm>
            <a:off x="187960" y="133858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7" name="Rectangle 336">
            <a:extLst>
              <a:ext uri="{FF2B5EF4-FFF2-40B4-BE49-F238E27FC236}">
                <a16:creationId xmlns:a16="http://schemas.microsoft.com/office/drawing/2014/main" xmlns="" id="{00000000-0008-0000-0200-000051010000}"/>
              </a:ext>
            </a:extLst>
          </xdr:cNvPr>
          <xdr:cNvSpPr>
            <a:spLocks noChangeArrowheads="1"/>
          </xdr:cNvSpPr>
        </xdr:nvSpPr>
        <xdr:spPr bwMode="auto">
          <a:xfrm>
            <a:off x="5386070" y="34290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8" name="Rectangle 337">
            <a:extLst>
              <a:ext uri="{FF2B5EF4-FFF2-40B4-BE49-F238E27FC236}">
                <a16:creationId xmlns:a16="http://schemas.microsoft.com/office/drawing/2014/main" xmlns="" id="{00000000-0008-0000-0200-000052010000}"/>
              </a:ext>
            </a:extLst>
          </xdr:cNvPr>
          <xdr:cNvSpPr>
            <a:spLocks noChangeArrowheads="1"/>
          </xdr:cNvSpPr>
        </xdr:nvSpPr>
        <xdr:spPr bwMode="auto">
          <a:xfrm>
            <a:off x="5386070" y="34290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9" name="Rectangle 338">
            <a:extLst>
              <a:ext uri="{FF2B5EF4-FFF2-40B4-BE49-F238E27FC236}">
                <a16:creationId xmlns:a16="http://schemas.microsoft.com/office/drawing/2014/main" xmlns="" id="{00000000-0008-0000-0200-000053010000}"/>
              </a:ext>
            </a:extLst>
          </xdr:cNvPr>
          <xdr:cNvSpPr>
            <a:spLocks noChangeArrowheads="1"/>
          </xdr:cNvSpPr>
        </xdr:nvSpPr>
        <xdr:spPr bwMode="auto">
          <a:xfrm>
            <a:off x="5768340" y="78295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40" name="Rectangle 339">
            <a:extLst>
              <a:ext uri="{FF2B5EF4-FFF2-40B4-BE49-F238E27FC236}">
                <a16:creationId xmlns:a16="http://schemas.microsoft.com/office/drawing/2014/main" xmlns="" id="{00000000-0008-0000-0200-000054010000}"/>
              </a:ext>
            </a:extLst>
          </xdr:cNvPr>
          <xdr:cNvSpPr>
            <a:spLocks noChangeArrowheads="1"/>
          </xdr:cNvSpPr>
        </xdr:nvSpPr>
        <xdr:spPr bwMode="auto">
          <a:xfrm>
            <a:off x="5386070" y="157353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1" name="Rectangle 340">
            <a:extLst>
              <a:ext uri="{FF2B5EF4-FFF2-40B4-BE49-F238E27FC236}">
                <a16:creationId xmlns:a16="http://schemas.microsoft.com/office/drawing/2014/main" xmlns="" id="{00000000-0008-0000-0200-000055010000}"/>
              </a:ext>
            </a:extLst>
          </xdr:cNvPr>
          <xdr:cNvSpPr>
            <a:spLocks noChangeArrowheads="1"/>
          </xdr:cNvSpPr>
        </xdr:nvSpPr>
        <xdr:spPr bwMode="auto">
          <a:xfrm>
            <a:off x="5386070" y="157353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2" name="Rectangle 341">
            <a:extLst>
              <a:ext uri="{FF2B5EF4-FFF2-40B4-BE49-F238E27FC236}">
                <a16:creationId xmlns:a16="http://schemas.microsoft.com/office/drawing/2014/main" xmlns="" id="{00000000-0008-0000-0200-000056010000}"/>
              </a:ext>
            </a:extLst>
          </xdr:cNvPr>
          <xdr:cNvSpPr>
            <a:spLocks noChangeArrowheads="1"/>
          </xdr:cNvSpPr>
        </xdr:nvSpPr>
        <xdr:spPr bwMode="auto">
          <a:xfrm>
            <a:off x="5438775" y="201168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43" name="Line 1569">
            <a:extLst>
              <a:ext uri="{FF2B5EF4-FFF2-40B4-BE49-F238E27FC236}">
                <a16:creationId xmlns:a16="http://schemas.microsoft.com/office/drawing/2014/main" xmlns="" id="{00000000-0008-0000-0200-000057010000}"/>
              </a:ext>
            </a:extLst>
          </xdr:cNvPr>
          <xdr:cNvCxnSpPr/>
        </xdr:nvCxnSpPr>
        <xdr:spPr bwMode="auto">
          <a:xfrm>
            <a:off x="1094105" y="188087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44" name="Freeform 1570">
            <a:extLst>
              <a:ext uri="{FF2B5EF4-FFF2-40B4-BE49-F238E27FC236}">
                <a16:creationId xmlns:a16="http://schemas.microsoft.com/office/drawing/2014/main" xmlns="" id="{00000000-0008-0000-0200-000058010000}"/>
              </a:ext>
            </a:extLst>
          </xdr:cNvPr>
          <xdr:cNvSpPr>
            <a:spLocks/>
          </xdr:cNvSpPr>
        </xdr:nvSpPr>
        <xdr:spPr bwMode="auto">
          <a:xfrm>
            <a:off x="2503805" y="183642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5" name="Oval 1571">
            <a:extLst>
              <a:ext uri="{FF2B5EF4-FFF2-40B4-BE49-F238E27FC236}">
                <a16:creationId xmlns:a16="http://schemas.microsoft.com/office/drawing/2014/main" xmlns="" id="{00000000-0008-0000-0200-000059010000}"/>
              </a:ext>
            </a:extLst>
          </xdr:cNvPr>
          <xdr:cNvSpPr>
            <a:spLocks noChangeArrowheads="1"/>
          </xdr:cNvSpPr>
        </xdr:nvSpPr>
        <xdr:spPr bwMode="auto">
          <a:xfrm>
            <a:off x="2009775" y="97282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6" name="Oval 1572">
            <a:extLst>
              <a:ext uri="{FF2B5EF4-FFF2-40B4-BE49-F238E27FC236}">
                <a16:creationId xmlns:a16="http://schemas.microsoft.com/office/drawing/2014/main" xmlns="" id="{00000000-0008-0000-0200-00005A010000}"/>
              </a:ext>
            </a:extLst>
          </xdr:cNvPr>
          <xdr:cNvSpPr>
            <a:spLocks noChangeArrowheads="1"/>
          </xdr:cNvSpPr>
        </xdr:nvSpPr>
        <xdr:spPr bwMode="auto">
          <a:xfrm>
            <a:off x="2009775" y="97282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7" name="Rectangle 346">
            <a:extLst>
              <a:ext uri="{FF2B5EF4-FFF2-40B4-BE49-F238E27FC236}">
                <a16:creationId xmlns:a16="http://schemas.microsoft.com/office/drawing/2014/main" xmlns="" id="{00000000-0008-0000-0200-00005B010000}"/>
              </a:ext>
            </a:extLst>
          </xdr:cNvPr>
          <xdr:cNvSpPr>
            <a:spLocks noChangeArrowheads="1"/>
          </xdr:cNvSpPr>
        </xdr:nvSpPr>
        <xdr:spPr bwMode="auto">
          <a:xfrm>
            <a:off x="2096770" y="101917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48" name="Oval 1574">
            <a:extLst>
              <a:ext uri="{FF2B5EF4-FFF2-40B4-BE49-F238E27FC236}">
                <a16:creationId xmlns:a16="http://schemas.microsoft.com/office/drawing/2014/main" xmlns="" id="{00000000-0008-0000-0200-00005C010000}"/>
              </a:ext>
            </a:extLst>
          </xdr:cNvPr>
          <xdr:cNvSpPr>
            <a:spLocks noChangeArrowheads="1"/>
          </xdr:cNvSpPr>
        </xdr:nvSpPr>
        <xdr:spPr bwMode="auto">
          <a:xfrm>
            <a:off x="4895215" y="158623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9" name="Oval 1575">
            <a:extLst>
              <a:ext uri="{FF2B5EF4-FFF2-40B4-BE49-F238E27FC236}">
                <a16:creationId xmlns:a16="http://schemas.microsoft.com/office/drawing/2014/main" xmlns="" id="{00000000-0008-0000-0200-00005D010000}"/>
              </a:ext>
            </a:extLst>
          </xdr:cNvPr>
          <xdr:cNvSpPr>
            <a:spLocks noChangeArrowheads="1"/>
          </xdr:cNvSpPr>
        </xdr:nvSpPr>
        <xdr:spPr bwMode="auto">
          <a:xfrm>
            <a:off x="4907915" y="158623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0" name="Rectangle 349">
            <a:extLst>
              <a:ext uri="{FF2B5EF4-FFF2-40B4-BE49-F238E27FC236}">
                <a16:creationId xmlns:a16="http://schemas.microsoft.com/office/drawing/2014/main" xmlns="" id="{00000000-0008-0000-0200-00005E010000}"/>
              </a:ext>
            </a:extLst>
          </xdr:cNvPr>
          <xdr:cNvSpPr>
            <a:spLocks noChangeArrowheads="1"/>
          </xdr:cNvSpPr>
        </xdr:nvSpPr>
        <xdr:spPr bwMode="auto">
          <a:xfrm>
            <a:off x="4984750" y="162687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1" name="Freeform 1577">
            <a:extLst>
              <a:ext uri="{FF2B5EF4-FFF2-40B4-BE49-F238E27FC236}">
                <a16:creationId xmlns:a16="http://schemas.microsoft.com/office/drawing/2014/main" xmlns="" id="{00000000-0008-0000-0200-00005F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2" name="Freeform 1578">
            <a:extLst>
              <a:ext uri="{FF2B5EF4-FFF2-40B4-BE49-F238E27FC236}">
                <a16:creationId xmlns:a16="http://schemas.microsoft.com/office/drawing/2014/main" xmlns="" id="{00000000-0008-0000-0200-000060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3" name="Rectangle 352">
            <a:extLst>
              <a:ext uri="{FF2B5EF4-FFF2-40B4-BE49-F238E27FC236}">
                <a16:creationId xmlns:a16="http://schemas.microsoft.com/office/drawing/2014/main" xmlns="" id="{00000000-0008-0000-0200-000061010000}"/>
              </a:ext>
            </a:extLst>
          </xdr:cNvPr>
          <xdr:cNvSpPr>
            <a:spLocks noChangeArrowheads="1"/>
          </xdr:cNvSpPr>
        </xdr:nvSpPr>
        <xdr:spPr bwMode="auto">
          <a:xfrm>
            <a:off x="1280795" y="1443990"/>
            <a:ext cx="3194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4" name="Freeform 1580">
            <a:extLst>
              <a:ext uri="{FF2B5EF4-FFF2-40B4-BE49-F238E27FC236}">
                <a16:creationId xmlns:a16="http://schemas.microsoft.com/office/drawing/2014/main" xmlns="" id="{00000000-0008-0000-0200-000062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5" name="Freeform 1581">
            <a:extLst>
              <a:ext uri="{FF2B5EF4-FFF2-40B4-BE49-F238E27FC236}">
                <a16:creationId xmlns:a16="http://schemas.microsoft.com/office/drawing/2014/main" xmlns="" id="{00000000-0008-0000-0200-000063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6" name="Rectangle 355">
            <a:extLst>
              <a:ext uri="{FF2B5EF4-FFF2-40B4-BE49-F238E27FC236}">
                <a16:creationId xmlns:a16="http://schemas.microsoft.com/office/drawing/2014/main" xmlns="" id="{00000000-0008-0000-0200-000064010000}"/>
              </a:ext>
            </a:extLst>
          </xdr:cNvPr>
          <xdr:cNvSpPr>
            <a:spLocks noChangeArrowheads="1"/>
          </xdr:cNvSpPr>
        </xdr:nvSpPr>
        <xdr:spPr bwMode="auto">
          <a:xfrm>
            <a:off x="4182745" y="2022475"/>
            <a:ext cx="358775" cy="15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7" name="Freeform 1583">
            <a:extLst>
              <a:ext uri="{FF2B5EF4-FFF2-40B4-BE49-F238E27FC236}">
                <a16:creationId xmlns:a16="http://schemas.microsoft.com/office/drawing/2014/main" xmlns="" id="{00000000-0008-0000-0200-000065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8" name="Freeform 1584">
            <a:extLst>
              <a:ext uri="{FF2B5EF4-FFF2-40B4-BE49-F238E27FC236}">
                <a16:creationId xmlns:a16="http://schemas.microsoft.com/office/drawing/2014/main" xmlns="" id="{00000000-0008-0000-0200-000066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9" name="Rectangle 358">
            <a:extLst>
              <a:ext uri="{FF2B5EF4-FFF2-40B4-BE49-F238E27FC236}">
                <a16:creationId xmlns:a16="http://schemas.microsoft.com/office/drawing/2014/main" xmlns="" id="{00000000-0008-0000-0200-000067010000}"/>
              </a:ext>
            </a:extLst>
          </xdr:cNvPr>
          <xdr:cNvSpPr>
            <a:spLocks noChangeArrowheads="1"/>
          </xdr:cNvSpPr>
        </xdr:nvSpPr>
        <xdr:spPr bwMode="auto">
          <a:xfrm>
            <a:off x="4182745" y="808990"/>
            <a:ext cx="374015"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60" name="Oval 1586">
            <a:extLst>
              <a:ext uri="{FF2B5EF4-FFF2-40B4-BE49-F238E27FC236}">
                <a16:creationId xmlns:a16="http://schemas.microsoft.com/office/drawing/2014/main" xmlns="" id="{00000000-0008-0000-0200-000068010000}"/>
              </a:ext>
            </a:extLst>
          </xdr:cNvPr>
          <xdr:cNvSpPr>
            <a:spLocks noChangeArrowheads="1"/>
          </xdr:cNvSpPr>
        </xdr:nvSpPr>
        <xdr:spPr bwMode="auto">
          <a:xfrm>
            <a:off x="3992880" y="57340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61" name="Oval 1587">
            <a:extLst>
              <a:ext uri="{FF2B5EF4-FFF2-40B4-BE49-F238E27FC236}">
                <a16:creationId xmlns:a16="http://schemas.microsoft.com/office/drawing/2014/main" xmlns="" id="{00000000-0008-0000-0200-000069010000}"/>
              </a:ext>
            </a:extLst>
          </xdr:cNvPr>
          <xdr:cNvSpPr>
            <a:spLocks noChangeArrowheads="1"/>
          </xdr:cNvSpPr>
        </xdr:nvSpPr>
        <xdr:spPr bwMode="auto">
          <a:xfrm>
            <a:off x="3992880" y="57340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62" name="Rectangle 361">
            <a:extLst>
              <a:ext uri="{FF2B5EF4-FFF2-40B4-BE49-F238E27FC236}">
                <a16:creationId xmlns:a16="http://schemas.microsoft.com/office/drawing/2014/main" xmlns="" id="{00000000-0008-0000-0200-00006A010000}"/>
              </a:ext>
            </a:extLst>
          </xdr:cNvPr>
          <xdr:cNvSpPr>
            <a:spLocks noChangeArrowheads="1"/>
          </xdr:cNvSpPr>
        </xdr:nvSpPr>
        <xdr:spPr bwMode="auto">
          <a:xfrm>
            <a:off x="4036060" y="58801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63" name="Line 1589">
            <a:extLst>
              <a:ext uri="{FF2B5EF4-FFF2-40B4-BE49-F238E27FC236}">
                <a16:creationId xmlns:a16="http://schemas.microsoft.com/office/drawing/2014/main" xmlns="" id="{00000000-0008-0000-0200-00006B010000}"/>
              </a:ext>
            </a:extLst>
          </xdr:cNvPr>
          <xdr:cNvCxnSpPr/>
        </xdr:nvCxnSpPr>
        <xdr:spPr bwMode="auto">
          <a:xfrm flipV="1">
            <a:off x="4300855" y="49593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4" name="Line 1590">
            <a:extLst>
              <a:ext uri="{FF2B5EF4-FFF2-40B4-BE49-F238E27FC236}">
                <a16:creationId xmlns:a16="http://schemas.microsoft.com/office/drawing/2014/main" xmlns="" id="{00000000-0008-0000-0200-00006C010000}"/>
              </a:ext>
            </a:extLst>
          </xdr:cNvPr>
          <xdr:cNvCxnSpPr/>
        </xdr:nvCxnSpPr>
        <xdr:spPr bwMode="auto">
          <a:xfrm>
            <a:off x="4300855" y="97091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5" name="Line 1591">
            <a:extLst>
              <a:ext uri="{FF2B5EF4-FFF2-40B4-BE49-F238E27FC236}">
                <a16:creationId xmlns:a16="http://schemas.microsoft.com/office/drawing/2014/main" xmlns="" id="{00000000-0008-0000-0200-00006D010000}"/>
              </a:ext>
            </a:extLst>
          </xdr:cNvPr>
          <xdr:cNvCxnSpPr/>
        </xdr:nvCxnSpPr>
        <xdr:spPr bwMode="auto">
          <a:xfrm>
            <a:off x="4300855" y="172783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6" name="Line 1592">
            <a:extLst>
              <a:ext uri="{FF2B5EF4-FFF2-40B4-BE49-F238E27FC236}">
                <a16:creationId xmlns:a16="http://schemas.microsoft.com/office/drawing/2014/main" xmlns="" id="{00000000-0008-0000-0200-00006E010000}"/>
              </a:ext>
            </a:extLst>
          </xdr:cNvPr>
          <xdr:cNvCxnSpPr/>
        </xdr:nvCxnSpPr>
        <xdr:spPr bwMode="auto">
          <a:xfrm>
            <a:off x="4300855" y="220027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7" name="Line 1593">
            <a:extLst>
              <a:ext uri="{FF2B5EF4-FFF2-40B4-BE49-F238E27FC236}">
                <a16:creationId xmlns:a16="http://schemas.microsoft.com/office/drawing/2014/main" xmlns="" id="{00000000-0008-0000-0200-00006F010000}"/>
              </a:ext>
            </a:extLst>
          </xdr:cNvPr>
          <xdr:cNvCxnSpPr/>
        </xdr:nvCxnSpPr>
        <xdr:spPr bwMode="auto">
          <a:xfrm flipV="1">
            <a:off x="1402715" y="158623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8" name="Line 1594">
            <a:extLst>
              <a:ext uri="{FF2B5EF4-FFF2-40B4-BE49-F238E27FC236}">
                <a16:creationId xmlns:a16="http://schemas.microsoft.com/office/drawing/2014/main" xmlns="" id="{00000000-0008-0000-0200-000070010000}"/>
              </a:ext>
            </a:extLst>
          </xdr:cNvPr>
          <xdr:cNvCxnSpPr/>
        </xdr:nvCxnSpPr>
        <xdr:spPr bwMode="auto">
          <a:xfrm flipV="1">
            <a:off x="1402715" y="111188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9" name="Line 1595">
            <a:extLst>
              <a:ext uri="{FF2B5EF4-FFF2-40B4-BE49-F238E27FC236}">
                <a16:creationId xmlns:a16="http://schemas.microsoft.com/office/drawing/2014/main" xmlns="" id="{00000000-0008-0000-0200-000071010000}"/>
              </a:ext>
            </a:extLst>
          </xdr:cNvPr>
          <xdr:cNvCxnSpPr/>
        </xdr:nvCxnSpPr>
        <xdr:spPr bwMode="auto">
          <a:xfrm flipH="1">
            <a:off x="4154171" y="234315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0" name="Line 1596">
            <a:extLst>
              <a:ext uri="{FF2B5EF4-FFF2-40B4-BE49-F238E27FC236}">
                <a16:creationId xmlns:a16="http://schemas.microsoft.com/office/drawing/2014/main" xmlns="" id="{00000000-0008-0000-0200-000072010000}"/>
              </a:ext>
            </a:extLst>
          </xdr:cNvPr>
          <xdr:cNvCxnSpPr/>
        </xdr:nvCxnSpPr>
        <xdr:spPr bwMode="auto">
          <a:xfrm flipH="1">
            <a:off x="4161791" y="188087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1" name="Line 1597">
            <a:extLst>
              <a:ext uri="{FF2B5EF4-FFF2-40B4-BE49-F238E27FC236}">
                <a16:creationId xmlns:a16="http://schemas.microsoft.com/office/drawing/2014/main" xmlns="" id="{00000000-0008-0000-0200-000073010000}"/>
              </a:ext>
            </a:extLst>
          </xdr:cNvPr>
          <xdr:cNvCxnSpPr/>
        </xdr:nvCxnSpPr>
        <xdr:spPr bwMode="auto">
          <a:xfrm flipH="1">
            <a:off x="4146551" y="111188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2" name="Line 1598">
            <a:extLst>
              <a:ext uri="{FF2B5EF4-FFF2-40B4-BE49-F238E27FC236}">
                <a16:creationId xmlns:a16="http://schemas.microsoft.com/office/drawing/2014/main" xmlns="" id="{00000000-0008-0000-0200-000074010000}"/>
              </a:ext>
            </a:extLst>
          </xdr:cNvPr>
          <xdr:cNvCxnSpPr/>
        </xdr:nvCxnSpPr>
        <xdr:spPr bwMode="auto">
          <a:xfrm flipH="1">
            <a:off x="4161791" y="64960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3" name="Line 1599">
            <a:extLst>
              <a:ext uri="{FF2B5EF4-FFF2-40B4-BE49-F238E27FC236}">
                <a16:creationId xmlns:a16="http://schemas.microsoft.com/office/drawing/2014/main" xmlns="" id="{00000000-0008-0000-0200-000075010000}"/>
              </a:ext>
            </a:extLst>
          </xdr:cNvPr>
          <xdr:cNvCxnSpPr/>
        </xdr:nvCxnSpPr>
        <xdr:spPr bwMode="auto">
          <a:xfrm>
            <a:off x="1402715" y="126619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4" name="Line 1600">
            <a:extLst>
              <a:ext uri="{FF2B5EF4-FFF2-40B4-BE49-F238E27FC236}">
                <a16:creationId xmlns:a16="http://schemas.microsoft.com/office/drawing/2014/main" xmlns="" id="{00000000-0008-0000-0200-000076010000}"/>
              </a:ext>
            </a:extLst>
          </xdr:cNvPr>
          <xdr:cNvCxnSpPr/>
        </xdr:nvCxnSpPr>
        <xdr:spPr bwMode="auto">
          <a:xfrm>
            <a:off x="1402715" y="172783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375" name="Oval 1601">
            <a:extLst>
              <a:ext uri="{FF2B5EF4-FFF2-40B4-BE49-F238E27FC236}">
                <a16:creationId xmlns:a16="http://schemas.microsoft.com/office/drawing/2014/main" xmlns="" id="{00000000-0008-0000-0200-000077010000}"/>
              </a:ext>
            </a:extLst>
          </xdr:cNvPr>
          <xdr:cNvSpPr>
            <a:spLocks noChangeArrowheads="1"/>
          </xdr:cNvSpPr>
        </xdr:nvSpPr>
        <xdr:spPr bwMode="auto">
          <a:xfrm>
            <a:off x="3992880" y="103505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6" name="Oval 1602">
            <a:extLst>
              <a:ext uri="{FF2B5EF4-FFF2-40B4-BE49-F238E27FC236}">
                <a16:creationId xmlns:a16="http://schemas.microsoft.com/office/drawing/2014/main" xmlns="" id="{00000000-0008-0000-0200-000078010000}"/>
              </a:ext>
            </a:extLst>
          </xdr:cNvPr>
          <xdr:cNvSpPr>
            <a:spLocks noChangeArrowheads="1"/>
          </xdr:cNvSpPr>
        </xdr:nvSpPr>
        <xdr:spPr bwMode="auto">
          <a:xfrm>
            <a:off x="3992880" y="103505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77" name="Rectangle 376">
            <a:extLst>
              <a:ext uri="{FF2B5EF4-FFF2-40B4-BE49-F238E27FC236}">
                <a16:creationId xmlns:a16="http://schemas.microsoft.com/office/drawing/2014/main" xmlns="" id="{00000000-0008-0000-0200-000079010000}"/>
              </a:ext>
            </a:extLst>
          </xdr:cNvPr>
          <xdr:cNvSpPr>
            <a:spLocks noChangeArrowheads="1"/>
          </xdr:cNvSpPr>
        </xdr:nvSpPr>
        <xdr:spPr bwMode="auto">
          <a:xfrm>
            <a:off x="4036060" y="10426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78" name="Oval 1604">
            <a:extLst>
              <a:ext uri="{FF2B5EF4-FFF2-40B4-BE49-F238E27FC236}">
                <a16:creationId xmlns:a16="http://schemas.microsoft.com/office/drawing/2014/main" xmlns="" id="{00000000-0008-0000-0200-00007A010000}"/>
              </a:ext>
            </a:extLst>
          </xdr:cNvPr>
          <xdr:cNvSpPr>
            <a:spLocks noChangeArrowheads="1"/>
          </xdr:cNvSpPr>
        </xdr:nvSpPr>
        <xdr:spPr bwMode="auto">
          <a:xfrm>
            <a:off x="1556385" y="164973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9" name="Oval 1605">
            <a:extLst>
              <a:ext uri="{FF2B5EF4-FFF2-40B4-BE49-F238E27FC236}">
                <a16:creationId xmlns:a16="http://schemas.microsoft.com/office/drawing/2014/main" xmlns="" id="{00000000-0008-0000-0200-00007B010000}"/>
              </a:ext>
            </a:extLst>
          </xdr:cNvPr>
          <xdr:cNvSpPr>
            <a:spLocks noChangeArrowheads="1"/>
          </xdr:cNvSpPr>
        </xdr:nvSpPr>
        <xdr:spPr bwMode="auto">
          <a:xfrm>
            <a:off x="1556385" y="164973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0" name="Rectangle 379">
            <a:extLst>
              <a:ext uri="{FF2B5EF4-FFF2-40B4-BE49-F238E27FC236}">
                <a16:creationId xmlns:a16="http://schemas.microsoft.com/office/drawing/2014/main" xmlns="" id="{00000000-0008-0000-0200-00007C010000}"/>
              </a:ext>
            </a:extLst>
          </xdr:cNvPr>
          <xdr:cNvSpPr>
            <a:spLocks noChangeArrowheads="1"/>
          </xdr:cNvSpPr>
        </xdr:nvSpPr>
        <xdr:spPr bwMode="auto">
          <a:xfrm>
            <a:off x="1598295" y="166306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1" name="Oval 1607">
            <a:extLst>
              <a:ext uri="{FF2B5EF4-FFF2-40B4-BE49-F238E27FC236}">
                <a16:creationId xmlns:a16="http://schemas.microsoft.com/office/drawing/2014/main" xmlns="" id="{00000000-0008-0000-0200-00007D010000}"/>
              </a:ext>
            </a:extLst>
          </xdr:cNvPr>
          <xdr:cNvSpPr>
            <a:spLocks noChangeArrowheads="1"/>
          </xdr:cNvSpPr>
        </xdr:nvSpPr>
        <xdr:spPr bwMode="auto">
          <a:xfrm>
            <a:off x="1556385" y="118808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2" name="Oval 1608">
            <a:extLst>
              <a:ext uri="{FF2B5EF4-FFF2-40B4-BE49-F238E27FC236}">
                <a16:creationId xmlns:a16="http://schemas.microsoft.com/office/drawing/2014/main" xmlns="" id="{00000000-0008-0000-0200-00007E010000}"/>
              </a:ext>
            </a:extLst>
          </xdr:cNvPr>
          <xdr:cNvSpPr>
            <a:spLocks noChangeArrowheads="1"/>
          </xdr:cNvSpPr>
        </xdr:nvSpPr>
        <xdr:spPr bwMode="auto">
          <a:xfrm>
            <a:off x="1556385" y="118808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3" name="Rectangle 382">
            <a:extLst>
              <a:ext uri="{FF2B5EF4-FFF2-40B4-BE49-F238E27FC236}">
                <a16:creationId xmlns:a16="http://schemas.microsoft.com/office/drawing/2014/main" xmlns="" id="{00000000-0008-0000-0200-00007F010000}"/>
              </a:ext>
            </a:extLst>
          </xdr:cNvPr>
          <xdr:cNvSpPr>
            <a:spLocks noChangeArrowheads="1"/>
          </xdr:cNvSpPr>
        </xdr:nvSpPr>
        <xdr:spPr bwMode="auto">
          <a:xfrm>
            <a:off x="1598295" y="119824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4" name="Oval 1610">
            <a:extLst>
              <a:ext uri="{FF2B5EF4-FFF2-40B4-BE49-F238E27FC236}">
                <a16:creationId xmlns:a16="http://schemas.microsoft.com/office/drawing/2014/main" xmlns="" id="{00000000-0008-0000-0200-000080010000}"/>
              </a:ext>
            </a:extLst>
          </xdr:cNvPr>
          <xdr:cNvSpPr>
            <a:spLocks noChangeArrowheads="1"/>
          </xdr:cNvSpPr>
        </xdr:nvSpPr>
        <xdr:spPr bwMode="auto">
          <a:xfrm>
            <a:off x="3992880" y="22663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5" name="Oval 1611">
            <a:extLst>
              <a:ext uri="{FF2B5EF4-FFF2-40B4-BE49-F238E27FC236}">
                <a16:creationId xmlns:a16="http://schemas.microsoft.com/office/drawing/2014/main" xmlns="" id="{00000000-0008-0000-0200-000081010000}"/>
              </a:ext>
            </a:extLst>
          </xdr:cNvPr>
          <xdr:cNvSpPr>
            <a:spLocks noChangeArrowheads="1"/>
          </xdr:cNvSpPr>
        </xdr:nvSpPr>
        <xdr:spPr bwMode="auto">
          <a:xfrm>
            <a:off x="3992880" y="22663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6" name="Rectangle 385">
            <a:extLst>
              <a:ext uri="{FF2B5EF4-FFF2-40B4-BE49-F238E27FC236}">
                <a16:creationId xmlns:a16="http://schemas.microsoft.com/office/drawing/2014/main" xmlns="" id="{00000000-0008-0000-0200-000082010000}"/>
              </a:ext>
            </a:extLst>
          </xdr:cNvPr>
          <xdr:cNvSpPr>
            <a:spLocks noChangeArrowheads="1"/>
          </xdr:cNvSpPr>
        </xdr:nvSpPr>
        <xdr:spPr bwMode="auto">
          <a:xfrm>
            <a:off x="4036060" y="227203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7" name="Oval 1613">
            <a:extLst>
              <a:ext uri="{FF2B5EF4-FFF2-40B4-BE49-F238E27FC236}">
                <a16:creationId xmlns:a16="http://schemas.microsoft.com/office/drawing/2014/main" xmlns="" id="{00000000-0008-0000-0200-000083010000}"/>
              </a:ext>
            </a:extLst>
          </xdr:cNvPr>
          <xdr:cNvSpPr>
            <a:spLocks noChangeArrowheads="1"/>
          </xdr:cNvSpPr>
        </xdr:nvSpPr>
        <xdr:spPr bwMode="auto">
          <a:xfrm>
            <a:off x="3992880" y="180467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8" name="Oval 1614">
            <a:extLst>
              <a:ext uri="{FF2B5EF4-FFF2-40B4-BE49-F238E27FC236}">
                <a16:creationId xmlns:a16="http://schemas.microsoft.com/office/drawing/2014/main" xmlns="" id="{00000000-0008-0000-0200-000084010000}"/>
              </a:ext>
            </a:extLst>
          </xdr:cNvPr>
          <xdr:cNvSpPr>
            <a:spLocks noChangeArrowheads="1"/>
          </xdr:cNvSpPr>
        </xdr:nvSpPr>
        <xdr:spPr bwMode="auto">
          <a:xfrm>
            <a:off x="3992880" y="180467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9" name="Rectangle 388">
            <a:extLst>
              <a:ext uri="{FF2B5EF4-FFF2-40B4-BE49-F238E27FC236}">
                <a16:creationId xmlns:a16="http://schemas.microsoft.com/office/drawing/2014/main" xmlns="" id="{00000000-0008-0000-0200-000085010000}"/>
              </a:ext>
            </a:extLst>
          </xdr:cNvPr>
          <xdr:cNvSpPr>
            <a:spLocks noChangeArrowheads="1"/>
          </xdr:cNvSpPr>
        </xdr:nvSpPr>
        <xdr:spPr bwMode="auto">
          <a:xfrm>
            <a:off x="4036060" y="18173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0" name="Freeform 1616">
            <a:extLst>
              <a:ext uri="{FF2B5EF4-FFF2-40B4-BE49-F238E27FC236}">
                <a16:creationId xmlns:a16="http://schemas.microsoft.com/office/drawing/2014/main" xmlns="" id="{00000000-0008-0000-0200-000086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1" name="Freeform 1617">
            <a:extLst>
              <a:ext uri="{FF2B5EF4-FFF2-40B4-BE49-F238E27FC236}">
                <a16:creationId xmlns:a16="http://schemas.microsoft.com/office/drawing/2014/main" xmlns="" id="{00000000-0008-0000-0200-000087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2" name="Rectangle 391">
            <a:extLst>
              <a:ext uri="{FF2B5EF4-FFF2-40B4-BE49-F238E27FC236}">
                <a16:creationId xmlns:a16="http://schemas.microsoft.com/office/drawing/2014/main" xmlns="" id="{00000000-0008-0000-0200-000088010000}"/>
              </a:ext>
            </a:extLst>
          </xdr:cNvPr>
          <xdr:cNvSpPr>
            <a:spLocks noChangeArrowheads="1"/>
          </xdr:cNvSpPr>
        </xdr:nvSpPr>
        <xdr:spPr bwMode="auto">
          <a:xfrm>
            <a:off x="4918075" y="808990"/>
            <a:ext cx="39306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5</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3" name="Freeform 1619">
            <a:extLst>
              <a:ext uri="{FF2B5EF4-FFF2-40B4-BE49-F238E27FC236}">
                <a16:creationId xmlns:a16="http://schemas.microsoft.com/office/drawing/2014/main" xmlns="" id="{00000000-0008-0000-0200-000089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4" name="Freeform 1620">
            <a:extLst>
              <a:ext uri="{FF2B5EF4-FFF2-40B4-BE49-F238E27FC236}">
                <a16:creationId xmlns:a16="http://schemas.microsoft.com/office/drawing/2014/main" xmlns="" id="{00000000-0008-0000-0200-00008A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5" name="Rectangle 394">
            <a:extLst>
              <a:ext uri="{FF2B5EF4-FFF2-40B4-BE49-F238E27FC236}">
                <a16:creationId xmlns:a16="http://schemas.microsoft.com/office/drawing/2014/main" xmlns="" id="{00000000-0008-0000-0200-00008B010000}"/>
              </a:ext>
            </a:extLst>
          </xdr:cNvPr>
          <xdr:cNvSpPr>
            <a:spLocks noChangeArrowheads="1"/>
          </xdr:cNvSpPr>
        </xdr:nvSpPr>
        <xdr:spPr bwMode="auto">
          <a:xfrm>
            <a:off x="4914900" y="2066290"/>
            <a:ext cx="5410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6" name="Freeform 1622">
            <a:extLst>
              <a:ext uri="{FF2B5EF4-FFF2-40B4-BE49-F238E27FC236}">
                <a16:creationId xmlns:a16="http://schemas.microsoft.com/office/drawing/2014/main" xmlns="" id="{00000000-0008-0000-0200-00008C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7" name="Freeform 1623">
            <a:extLst>
              <a:ext uri="{FF2B5EF4-FFF2-40B4-BE49-F238E27FC236}">
                <a16:creationId xmlns:a16="http://schemas.microsoft.com/office/drawing/2014/main" xmlns="" id="{00000000-0008-0000-0200-00008D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8" name="Rectangle 397">
            <a:extLst>
              <a:ext uri="{FF2B5EF4-FFF2-40B4-BE49-F238E27FC236}">
                <a16:creationId xmlns:a16="http://schemas.microsoft.com/office/drawing/2014/main" xmlns="" id="{00000000-0008-0000-0200-00008E010000}"/>
              </a:ext>
            </a:extLst>
          </xdr:cNvPr>
          <xdr:cNvSpPr>
            <a:spLocks noChangeArrowheads="1"/>
          </xdr:cNvSpPr>
        </xdr:nvSpPr>
        <xdr:spPr bwMode="auto">
          <a:xfrm>
            <a:off x="2022475" y="1443990"/>
            <a:ext cx="332105" cy="14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99" name="Line 1625">
            <a:extLst>
              <a:ext uri="{FF2B5EF4-FFF2-40B4-BE49-F238E27FC236}">
                <a16:creationId xmlns:a16="http://schemas.microsoft.com/office/drawing/2014/main" xmlns="" id="{00000000-0008-0000-0200-00008F010000}"/>
              </a:ext>
            </a:extLst>
          </xdr:cNvPr>
          <xdr:cNvCxnSpPr/>
        </xdr:nvCxnSpPr>
        <xdr:spPr bwMode="auto">
          <a:xfrm>
            <a:off x="5033010" y="63246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400" name="Line 1626">
            <a:extLst>
              <a:ext uri="{FF2B5EF4-FFF2-40B4-BE49-F238E27FC236}">
                <a16:creationId xmlns:a16="http://schemas.microsoft.com/office/drawing/2014/main" xmlns="" id="{00000000-0008-0000-0200-000090010000}"/>
              </a:ext>
            </a:extLst>
          </xdr:cNvPr>
          <xdr:cNvCxnSpPr/>
        </xdr:nvCxnSpPr>
        <xdr:spPr bwMode="auto">
          <a:xfrm>
            <a:off x="5041265" y="186309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401" name="Line 1627">
            <a:extLst>
              <a:ext uri="{FF2B5EF4-FFF2-40B4-BE49-F238E27FC236}">
                <a16:creationId xmlns:a16="http://schemas.microsoft.com/office/drawing/2014/main" xmlns="" id="{00000000-0008-0000-0200-000091010000}"/>
              </a:ext>
            </a:extLst>
          </xdr:cNvPr>
          <xdr:cNvCxnSpPr/>
        </xdr:nvCxnSpPr>
        <xdr:spPr bwMode="auto">
          <a:xfrm flipH="1">
            <a:off x="2139951" y="124968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02" name="Rectangle 401">
            <a:extLst>
              <a:ext uri="{FF2B5EF4-FFF2-40B4-BE49-F238E27FC236}">
                <a16:creationId xmlns:a16="http://schemas.microsoft.com/office/drawing/2014/main" xmlns="" id="{00000000-0008-0000-0200-000092010000}"/>
              </a:ext>
            </a:extLst>
          </xdr:cNvPr>
          <xdr:cNvSpPr>
            <a:spLocks noChangeArrowheads="1"/>
          </xdr:cNvSpPr>
        </xdr:nvSpPr>
        <xdr:spPr bwMode="auto">
          <a:xfrm>
            <a:off x="2672080" y="149606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03" name="Rectangle 402">
            <a:extLst>
              <a:ext uri="{FF2B5EF4-FFF2-40B4-BE49-F238E27FC236}">
                <a16:creationId xmlns:a16="http://schemas.microsoft.com/office/drawing/2014/main" xmlns="" id="{00000000-0008-0000-0200-000093010000}"/>
              </a:ext>
            </a:extLst>
          </xdr:cNvPr>
          <xdr:cNvSpPr>
            <a:spLocks noChangeArrowheads="1"/>
          </xdr:cNvSpPr>
        </xdr:nvSpPr>
        <xdr:spPr bwMode="auto">
          <a:xfrm>
            <a:off x="2672080" y="149606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4" name="Rectangle 403">
            <a:extLst>
              <a:ext uri="{FF2B5EF4-FFF2-40B4-BE49-F238E27FC236}">
                <a16:creationId xmlns:a16="http://schemas.microsoft.com/office/drawing/2014/main" xmlns="" id="{00000000-0008-0000-0200-000094010000}"/>
              </a:ext>
            </a:extLst>
          </xdr:cNvPr>
          <xdr:cNvSpPr>
            <a:spLocks noChangeArrowheads="1"/>
          </xdr:cNvSpPr>
        </xdr:nvSpPr>
        <xdr:spPr bwMode="auto">
          <a:xfrm>
            <a:off x="2628900" y="1597660"/>
            <a:ext cx="11430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5" name="Freeform 1631">
            <a:extLst>
              <a:ext uri="{FF2B5EF4-FFF2-40B4-BE49-F238E27FC236}">
                <a16:creationId xmlns:a16="http://schemas.microsoft.com/office/drawing/2014/main" xmlns="" id="{00000000-0008-0000-0200-000095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6" name="Freeform 1632">
            <a:extLst>
              <a:ext uri="{FF2B5EF4-FFF2-40B4-BE49-F238E27FC236}">
                <a16:creationId xmlns:a16="http://schemas.microsoft.com/office/drawing/2014/main" xmlns="" id="{00000000-0008-0000-0200-000096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7" name="Rectangle 406">
            <a:extLst>
              <a:ext uri="{FF2B5EF4-FFF2-40B4-BE49-F238E27FC236}">
                <a16:creationId xmlns:a16="http://schemas.microsoft.com/office/drawing/2014/main" xmlns="" id="{00000000-0008-0000-0200-000097010000}"/>
              </a:ext>
            </a:extLst>
          </xdr:cNvPr>
          <xdr:cNvSpPr>
            <a:spLocks noChangeArrowheads="1"/>
          </xdr:cNvSpPr>
        </xdr:nvSpPr>
        <xdr:spPr bwMode="auto">
          <a:xfrm>
            <a:off x="228600" y="2180590"/>
            <a:ext cx="3429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8" name="Freeform 1634">
            <a:extLst>
              <a:ext uri="{FF2B5EF4-FFF2-40B4-BE49-F238E27FC236}">
                <a16:creationId xmlns:a16="http://schemas.microsoft.com/office/drawing/2014/main" xmlns="" id="{00000000-0008-0000-0200-000098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9" name="Freeform 1635">
            <a:extLst>
              <a:ext uri="{FF2B5EF4-FFF2-40B4-BE49-F238E27FC236}">
                <a16:creationId xmlns:a16="http://schemas.microsoft.com/office/drawing/2014/main" xmlns="" id="{00000000-0008-0000-0200-000099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0" name="Rectangle 409">
            <a:extLst>
              <a:ext uri="{FF2B5EF4-FFF2-40B4-BE49-F238E27FC236}">
                <a16:creationId xmlns:a16="http://schemas.microsoft.com/office/drawing/2014/main" xmlns="" id="{00000000-0008-0000-0200-00009A010000}"/>
              </a:ext>
            </a:extLst>
          </xdr:cNvPr>
          <xdr:cNvSpPr>
            <a:spLocks noChangeArrowheads="1"/>
          </xdr:cNvSpPr>
        </xdr:nvSpPr>
        <xdr:spPr bwMode="auto">
          <a:xfrm>
            <a:off x="211455" y="2810510"/>
            <a:ext cx="36004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1" name="Oval 1637">
            <a:extLst>
              <a:ext uri="{FF2B5EF4-FFF2-40B4-BE49-F238E27FC236}">
                <a16:creationId xmlns:a16="http://schemas.microsoft.com/office/drawing/2014/main" xmlns="" id="{00000000-0008-0000-0200-00009B010000}"/>
              </a:ext>
            </a:extLst>
          </xdr:cNvPr>
          <xdr:cNvSpPr>
            <a:spLocks noChangeArrowheads="1"/>
          </xdr:cNvSpPr>
        </xdr:nvSpPr>
        <xdr:spPr bwMode="auto">
          <a:xfrm>
            <a:off x="254000" y="309562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412" name="Oval 1638">
            <a:extLst>
              <a:ext uri="{FF2B5EF4-FFF2-40B4-BE49-F238E27FC236}">
                <a16:creationId xmlns:a16="http://schemas.microsoft.com/office/drawing/2014/main" xmlns="" id="{00000000-0008-0000-0200-00009C010000}"/>
              </a:ext>
            </a:extLst>
          </xdr:cNvPr>
          <xdr:cNvSpPr>
            <a:spLocks noChangeArrowheads="1"/>
          </xdr:cNvSpPr>
        </xdr:nvSpPr>
        <xdr:spPr bwMode="auto">
          <a:xfrm>
            <a:off x="254000" y="309562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3" name="Rectangle 412">
            <a:extLst>
              <a:ext uri="{FF2B5EF4-FFF2-40B4-BE49-F238E27FC236}">
                <a16:creationId xmlns:a16="http://schemas.microsoft.com/office/drawing/2014/main" xmlns="" id="{00000000-0008-0000-0200-00009D010000}"/>
              </a:ext>
            </a:extLst>
          </xdr:cNvPr>
          <xdr:cNvSpPr>
            <a:spLocks noChangeArrowheads="1"/>
          </xdr:cNvSpPr>
        </xdr:nvSpPr>
        <xdr:spPr bwMode="auto">
          <a:xfrm>
            <a:off x="293370" y="311150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4" name="Rectangle 413">
            <a:extLst>
              <a:ext uri="{FF2B5EF4-FFF2-40B4-BE49-F238E27FC236}">
                <a16:creationId xmlns:a16="http://schemas.microsoft.com/office/drawing/2014/main" xmlns="" id="{00000000-0008-0000-0200-00009E010000}"/>
              </a:ext>
            </a:extLst>
          </xdr:cNvPr>
          <xdr:cNvSpPr>
            <a:spLocks noChangeArrowheads="1"/>
          </xdr:cNvSpPr>
        </xdr:nvSpPr>
        <xdr:spPr bwMode="auto">
          <a:xfrm>
            <a:off x="683260" y="249364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5" name="Rectangle 414">
            <a:extLst>
              <a:ext uri="{FF2B5EF4-FFF2-40B4-BE49-F238E27FC236}">
                <a16:creationId xmlns:a16="http://schemas.microsoft.com/office/drawing/2014/main" xmlns="" id="{00000000-0008-0000-0200-00009F010000}"/>
              </a:ext>
            </a:extLst>
          </xdr:cNvPr>
          <xdr:cNvSpPr>
            <a:spLocks noChangeArrowheads="1"/>
          </xdr:cNvSpPr>
        </xdr:nvSpPr>
        <xdr:spPr bwMode="auto">
          <a:xfrm>
            <a:off x="683260" y="249364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6" name="Rectangle 415">
            <a:extLst>
              <a:ext uri="{FF2B5EF4-FFF2-40B4-BE49-F238E27FC236}">
                <a16:creationId xmlns:a16="http://schemas.microsoft.com/office/drawing/2014/main" xmlns="" id="{00000000-0008-0000-0200-0000A0010000}"/>
              </a:ext>
            </a:extLst>
          </xdr:cNvPr>
          <xdr:cNvSpPr>
            <a:spLocks noChangeArrowheads="1"/>
          </xdr:cNvSpPr>
        </xdr:nvSpPr>
        <xdr:spPr bwMode="auto">
          <a:xfrm>
            <a:off x="800100" y="25234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7" name="Rectangle 416">
            <a:extLst>
              <a:ext uri="{FF2B5EF4-FFF2-40B4-BE49-F238E27FC236}">
                <a16:creationId xmlns:a16="http://schemas.microsoft.com/office/drawing/2014/main" xmlns="" id="{00000000-0008-0000-0200-0000A1010000}"/>
              </a:ext>
            </a:extLst>
          </xdr:cNvPr>
          <xdr:cNvSpPr>
            <a:spLocks noChangeArrowheads="1"/>
          </xdr:cNvSpPr>
        </xdr:nvSpPr>
        <xdr:spPr bwMode="auto">
          <a:xfrm>
            <a:off x="696595" y="310896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8" name="Rectangle 417">
            <a:extLst>
              <a:ext uri="{FF2B5EF4-FFF2-40B4-BE49-F238E27FC236}">
                <a16:creationId xmlns:a16="http://schemas.microsoft.com/office/drawing/2014/main" xmlns="" id="{00000000-0008-0000-0200-0000A2010000}"/>
              </a:ext>
            </a:extLst>
          </xdr:cNvPr>
          <xdr:cNvSpPr>
            <a:spLocks noChangeArrowheads="1"/>
          </xdr:cNvSpPr>
        </xdr:nvSpPr>
        <xdr:spPr bwMode="auto">
          <a:xfrm>
            <a:off x="696595" y="310896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9" name="Rectangle 418">
            <a:extLst>
              <a:ext uri="{FF2B5EF4-FFF2-40B4-BE49-F238E27FC236}">
                <a16:creationId xmlns:a16="http://schemas.microsoft.com/office/drawing/2014/main" xmlns="" id="{00000000-0008-0000-0200-0000A3010000}"/>
              </a:ext>
            </a:extLst>
          </xdr:cNvPr>
          <xdr:cNvSpPr>
            <a:spLocks noChangeArrowheads="1"/>
          </xdr:cNvSpPr>
        </xdr:nvSpPr>
        <xdr:spPr bwMode="auto">
          <a:xfrm>
            <a:off x="725805" y="309499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20" name="Rectangle 419">
            <a:extLst>
              <a:ext uri="{FF2B5EF4-FFF2-40B4-BE49-F238E27FC236}">
                <a16:creationId xmlns:a16="http://schemas.microsoft.com/office/drawing/2014/main" xmlns="" id="{00000000-0008-0000-0200-0000A4010000}"/>
              </a:ext>
            </a:extLst>
          </xdr:cNvPr>
          <xdr:cNvSpPr>
            <a:spLocks noChangeArrowheads="1"/>
          </xdr:cNvSpPr>
        </xdr:nvSpPr>
        <xdr:spPr bwMode="auto">
          <a:xfrm>
            <a:off x="688340" y="280035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21" name="Rectangle 420">
            <a:extLst>
              <a:ext uri="{FF2B5EF4-FFF2-40B4-BE49-F238E27FC236}">
                <a16:creationId xmlns:a16="http://schemas.microsoft.com/office/drawing/2014/main" xmlns="" id="{00000000-0008-0000-0200-0000A5010000}"/>
              </a:ext>
            </a:extLst>
          </xdr:cNvPr>
          <xdr:cNvSpPr>
            <a:spLocks noChangeArrowheads="1"/>
          </xdr:cNvSpPr>
        </xdr:nvSpPr>
        <xdr:spPr bwMode="auto">
          <a:xfrm>
            <a:off x="688340" y="280035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2" name="Rectangle 421">
            <a:extLst>
              <a:ext uri="{FF2B5EF4-FFF2-40B4-BE49-F238E27FC236}">
                <a16:creationId xmlns:a16="http://schemas.microsoft.com/office/drawing/2014/main" xmlns="" id="{00000000-0008-0000-0200-0000A6010000}"/>
              </a:ext>
            </a:extLst>
          </xdr:cNvPr>
          <xdr:cNvSpPr>
            <a:spLocks noChangeArrowheads="1"/>
          </xdr:cNvSpPr>
        </xdr:nvSpPr>
        <xdr:spPr bwMode="auto">
          <a:xfrm>
            <a:off x="734695" y="2818765"/>
            <a:ext cx="16656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23" name="Freeform 1649">
            <a:extLst>
              <a:ext uri="{FF2B5EF4-FFF2-40B4-BE49-F238E27FC236}">
                <a16:creationId xmlns:a16="http://schemas.microsoft.com/office/drawing/2014/main" xmlns="" id="{00000000-0008-0000-0200-0000A7010000}"/>
              </a:ext>
            </a:extLst>
          </xdr:cNvPr>
          <xdr:cNvSpPr>
            <a:spLocks/>
          </xdr:cNvSpPr>
        </xdr:nvSpPr>
        <xdr:spPr bwMode="auto">
          <a:xfrm>
            <a:off x="114300" y="2180590"/>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4" name="Rectangle 423">
            <a:extLst>
              <a:ext uri="{FF2B5EF4-FFF2-40B4-BE49-F238E27FC236}">
                <a16:creationId xmlns:a16="http://schemas.microsoft.com/office/drawing/2014/main" xmlns="" id="{00000000-0008-0000-0200-0000A8010000}"/>
              </a:ext>
            </a:extLst>
          </xdr:cNvPr>
          <xdr:cNvSpPr>
            <a:spLocks noChangeArrowheads="1"/>
          </xdr:cNvSpPr>
        </xdr:nvSpPr>
        <xdr:spPr bwMode="auto">
          <a:xfrm>
            <a:off x="2717165" y="2834640"/>
            <a:ext cx="40703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5" name="Line 1651">
            <a:extLst>
              <a:ext uri="{FF2B5EF4-FFF2-40B4-BE49-F238E27FC236}">
                <a16:creationId xmlns:a16="http://schemas.microsoft.com/office/drawing/2014/main" xmlns="" id="{00000000-0008-0000-0200-0000A9010000}"/>
              </a:ext>
            </a:extLst>
          </xdr:cNvPr>
          <xdr:cNvCxnSpPr/>
        </xdr:nvCxnSpPr>
        <xdr:spPr bwMode="auto">
          <a:xfrm flipV="1">
            <a:off x="2834005" y="2649855"/>
            <a:ext cx="1270"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26" name="Freeform 1652">
            <a:extLst>
              <a:ext uri="{FF2B5EF4-FFF2-40B4-BE49-F238E27FC236}">
                <a16:creationId xmlns:a16="http://schemas.microsoft.com/office/drawing/2014/main" xmlns="" id="{00000000-0008-0000-0200-0000AA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27" name="Freeform 1653">
            <a:extLst>
              <a:ext uri="{FF2B5EF4-FFF2-40B4-BE49-F238E27FC236}">
                <a16:creationId xmlns:a16="http://schemas.microsoft.com/office/drawing/2014/main" xmlns="" id="{00000000-0008-0000-0200-0000AB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8" name="Rectangle 427">
            <a:extLst>
              <a:ext uri="{FF2B5EF4-FFF2-40B4-BE49-F238E27FC236}">
                <a16:creationId xmlns:a16="http://schemas.microsoft.com/office/drawing/2014/main" xmlns="" id="{00000000-0008-0000-0200-0000AC010000}"/>
              </a:ext>
            </a:extLst>
          </xdr:cNvPr>
          <xdr:cNvSpPr>
            <a:spLocks noChangeArrowheads="1"/>
          </xdr:cNvSpPr>
        </xdr:nvSpPr>
        <xdr:spPr bwMode="auto">
          <a:xfrm>
            <a:off x="3429000" y="2866390"/>
            <a:ext cx="457200" cy="8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9" name="Line 1655">
            <a:extLst>
              <a:ext uri="{FF2B5EF4-FFF2-40B4-BE49-F238E27FC236}">
                <a16:creationId xmlns:a16="http://schemas.microsoft.com/office/drawing/2014/main" xmlns="" id="{00000000-0008-0000-0200-0000AD010000}"/>
              </a:ext>
            </a:extLst>
          </xdr:cNvPr>
          <xdr:cNvCxnSpPr/>
        </xdr:nvCxnSpPr>
        <xdr:spPr bwMode="auto">
          <a:xfrm flipV="1">
            <a:off x="3589655" y="2649855"/>
            <a:ext cx="635"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30" name="Rectangle 429">
            <a:extLst>
              <a:ext uri="{FF2B5EF4-FFF2-40B4-BE49-F238E27FC236}">
                <a16:creationId xmlns:a16="http://schemas.microsoft.com/office/drawing/2014/main" xmlns="" id="{00000000-0008-0000-0200-0000AE010000}"/>
              </a:ext>
            </a:extLst>
          </xdr:cNvPr>
          <xdr:cNvSpPr>
            <a:spLocks noChangeArrowheads="1"/>
          </xdr:cNvSpPr>
        </xdr:nvSpPr>
        <xdr:spPr bwMode="auto">
          <a:xfrm>
            <a:off x="2679700" y="303530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1" name="Rectangle 430">
            <a:extLst>
              <a:ext uri="{FF2B5EF4-FFF2-40B4-BE49-F238E27FC236}">
                <a16:creationId xmlns:a16="http://schemas.microsoft.com/office/drawing/2014/main" xmlns="" id="{00000000-0008-0000-0200-0000AF010000}"/>
              </a:ext>
            </a:extLst>
          </xdr:cNvPr>
          <xdr:cNvSpPr>
            <a:spLocks noChangeArrowheads="1"/>
          </xdr:cNvSpPr>
        </xdr:nvSpPr>
        <xdr:spPr bwMode="auto">
          <a:xfrm>
            <a:off x="2679700" y="303530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2" name="Rectangle 431">
            <a:extLst>
              <a:ext uri="{FF2B5EF4-FFF2-40B4-BE49-F238E27FC236}">
                <a16:creationId xmlns:a16="http://schemas.microsoft.com/office/drawing/2014/main" xmlns="" id="{00000000-0008-0000-0200-0000B0010000}"/>
              </a:ext>
            </a:extLst>
          </xdr:cNvPr>
          <xdr:cNvSpPr>
            <a:spLocks noChangeArrowheads="1"/>
          </xdr:cNvSpPr>
        </xdr:nvSpPr>
        <xdr:spPr bwMode="auto">
          <a:xfrm>
            <a:off x="2724150" y="305498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3" name="Rectangle 432">
            <a:extLst>
              <a:ext uri="{FF2B5EF4-FFF2-40B4-BE49-F238E27FC236}">
                <a16:creationId xmlns:a16="http://schemas.microsoft.com/office/drawing/2014/main" xmlns="" id="{00000000-0008-0000-0200-0000B1010000}"/>
              </a:ext>
            </a:extLst>
          </xdr:cNvPr>
          <xdr:cNvSpPr>
            <a:spLocks noChangeArrowheads="1"/>
          </xdr:cNvSpPr>
        </xdr:nvSpPr>
        <xdr:spPr bwMode="auto">
          <a:xfrm>
            <a:off x="3366135" y="303530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4" name="Rectangle 433">
            <a:extLst>
              <a:ext uri="{FF2B5EF4-FFF2-40B4-BE49-F238E27FC236}">
                <a16:creationId xmlns:a16="http://schemas.microsoft.com/office/drawing/2014/main" xmlns="" id="{00000000-0008-0000-0200-0000B2010000}"/>
              </a:ext>
            </a:extLst>
          </xdr:cNvPr>
          <xdr:cNvSpPr>
            <a:spLocks noChangeArrowheads="1"/>
          </xdr:cNvSpPr>
        </xdr:nvSpPr>
        <xdr:spPr bwMode="auto">
          <a:xfrm>
            <a:off x="3366135" y="303530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5" name="Rectangle 434">
            <a:extLst>
              <a:ext uri="{FF2B5EF4-FFF2-40B4-BE49-F238E27FC236}">
                <a16:creationId xmlns:a16="http://schemas.microsoft.com/office/drawing/2014/main" xmlns="" id="{00000000-0008-0000-0200-0000B3010000}"/>
              </a:ext>
            </a:extLst>
          </xdr:cNvPr>
          <xdr:cNvSpPr>
            <a:spLocks noChangeArrowheads="1"/>
          </xdr:cNvSpPr>
        </xdr:nvSpPr>
        <xdr:spPr bwMode="auto">
          <a:xfrm>
            <a:off x="3409315" y="3054985"/>
            <a:ext cx="591185" cy="15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36" name="Line 1662">
            <a:extLst>
              <a:ext uri="{FF2B5EF4-FFF2-40B4-BE49-F238E27FC236}">
                <a16:creationId xmlns:a16="http://schemas.microsoft.com/office/drawing/2014/main" xmlns="" id="{00000000-0008-0000-0200-0000B4010000}"/>
              </a:ext>
            </a:extLst>
          </xdr:cNvPr>
          <xdr:cNvCxnSpPr/>
        </xdr:nvCxnSpPr>
        <xdr:spPr bwMode="auto">
          <a:xfrm>
            <a:off x="4686300" y="889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437" name="Rectangle 436">
            <a:extLst>
              <a:ext uri="{FF2B5EF4-FFF2-40B4-BE49-F238E27FC236}">
                <a16:creationId xmlns:a16="http://schemas.microsoft.com/office/drawing/2014/main" xmlns="" id="{00000000-0008-0000-0200-0000B5010000}"/>
              </a:ext>
            </a:extLst>
          </xdr:cNvPr>
          <xdr:cNvSpPr>
            <a:spLocks noChangeArrowheads="1"/>
          </xdr:cNvSpPr>
        </xdr:nvSpPr>
        <xdr:spPr bwMode="auto">
          <a:xfrm>
            <a:off x="685800" y="21805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8" name="Freeform 1664">
            <a:extLst>
              <a:ext uri="{FF2B5EF4-FFF2-40B4-BE49-F238E27FC236}">
                <a16:creationId xmlns:a16="http://schemas.microsoft.com/office/drawing/2014/main" xmlns="" id="{00000000-0008-0000-0200-0000B6010000}"/>
              </a:ext>
            </a:extLst>
          </xdr:cNvPr>
          <xdr:cNvSpPr>
            <a:spLocks/>
          </xdr:cNvSpPr>
        </xdr:nvSpPr>
        <xdr:spPr bwMode="auto">
          <a:xfrm>
            <a:off x="2638425" y="280225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9" name="Rectangle 438">
            <a:extLst>
              <a:ext uri="{FF2B5EF4-FFF2-40B4-BE49-F238E27FC236}">
                <a16:creationId xmlns:a16="http://schemas.microsoft.com/office/drawing/2014/main" xmlns="" id="{00000000-0008-0000-0200-0000B7010000}"/>
              </a:ext>
            </a:extLst>
          </xdr:cNvPr>
          <xdr:cNvSpPr>
            <a:spLocks noChangeArrowheads="1"/>
          </xdr:cNvSpPr>
        </xdr:nvSpPr>
        <xdr:spPr bwMode="auto">
          <a:xfrm>
            <a:off x="228600" y="2523490"/>
            <a:ext cx="33083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40" name="Freeform 1666">
            <a:extLst>
              <a:ext uri="{FF2B5EF4-FFF2-40B4-BE49-F238E27FC236}">
                <a16:creationId xmlns:a16="http://schemas.microsoft.com/office/drawing/2014/main" xmlns="" id="{00000000-0008-0000-0200-0000B8010000}"/>
              </a:ext>
            </a:extLst>
          </xdr:cNvPr>
          <xdr:cNvSpPr>
            <a:spLocks/>
          </xdr:cNvSpPr>
        </xdr:nvSpPr>
        <xdr:spPr bwMode="auto">
          <a:xfrm>
            <a:off x="2993390" y="889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441" name="Line 1667">
            <a:extLst>
              <a:ext uri="{FF2B5EF4-FFF2-40B4-BE49-F238E27FC236}">
                <a16:creationId xmlns:a16="http://schemas.microsoft.com/office/drawing/2014/main" xmlns="" id="{00000000-0008-0000-0200-0000B9010000}"/>
              </a:ext>
            </a:extLst>
          </xdr:cNvPr>
          <xdr:cNvCxnSpPr/>
        </xdr:nvCxnSpPr>
        <xdr:spPr bwMode="auto">
          <a:xfrm>
            <a:off x="3221990" y="18669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42" name="Rectangle 441">
            <a:extLst>
              <a:ext uri="{FF2B5EF4-FFF2-40B4-BE49-F238E27FC236}">
                <a16:creationId xmlns:a16="http://schemas.microsoft.com/office/drawing/2014/main" xmlns="" id="{00000000-0008-0000-0200-0000BA010000}"/>
              </a:ext>
            </a:extLst>
          </xdr:cNvPr>
          <xdr:cNvSpPr>
            <a:spLocks noChangeArrowheads="1"/>
          </xdr:cNvSpPr>
        </xdr:nvSpPr>
        <xdr:spPr bwMode="auto">
          <a:xfrm>
            <a:off x="3107690" y="889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27</xdr:col>
      <xdr:colOff>476251</xdr:colOff>
      <xdr:row>194</xdr:row>
      <xdr:rowOff>105833</xdr:rowOff>
    </xdr:from>
    <xdr:to>
      <xdr:col>28</xdr:col>
      <xdr:colOff>755016</xdr:colOff>
      <xdr:row>195</xdr:row>
      <xdr:rowOff>56938</xdr:rowOff>
    </xdr:to>
    <xdr:sp macro="" textlink="">
      <xdr:nvSpPr>
        <xdr:cNvPr id="574" name="Rectangle 573">
          <a:extLst>
            <a:ext uri="{FF2B5EF4-FFF2-40B4-BE49-F238E27FC236}">
              <a16:creationId xmlns:a16="http://schemas.microsoft.com/office/drawing/2014/main" xmlns="" id="{00000000-0008-0000-0200-00003E020000}"/>
            </a:ext>
          </a:extLst>
        </xdr:cNvPr>
        <xdr:cNvSpPr>
          <a:spLocks noChangeArrowheads="1"/>
        </xdr:cNvSpPr>
      </xdr:nvSpPr>
      <xdr:spPr bwMode="auto">
        <a:xfrm>
          <a:off x="17687926" y="24127883"/>
          <a:ext cx="1040765" cy="141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3</xdr:col>
          <xdr:colOff>388620</xdr:colOff>
          <xdr:row>109</xdr:row>
          <xdr:rowOff>60960</xdr:rowOff>
        </xdr:from>
        <xdr:to>
          <xdr:col>9</xdr:col>
          <xdr:colOff>297180</xdr:colOff>
          <xdr:row>110</xdr:row>
          <xdr:rowOff>152400</xdr:rowOff>
        </xdr:to>
        <xdr:sp macro="" textlink="">
          <xdr:nvSpPr>
            <xdr:cNvPr id="32769" name="Object 1" hidden="1">
              <a:extLst>
                <a:ext uri="{63B3BB69-23CF-44E3-9099-C40C66FF867C}">
                  <a14:compatExt spid="_x0000_s32769"/>
                </a:ext>
                <a:ext uri="{FF2B5EF4-FFF2-40B4-BE49-F238E27FC236}">
                  <a16:creationId xmlns:a16="http://schemas.microsoft.com/office/drawing/2014/main" xmlns="" id="{00000000-0008-0000-0200-000001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216477</xdr:colOff>
      <xdr:row>1</xdr:row>
      <xdr:rowOff>196091</xdr:rowOff>
    </xdr:from>
    <xdr:to>
      <xdr:col>8</xdr:col>
      <xdr:colOff>510381</xdr:colOff>
      <xdr:row>6</xdr:row>
      <xdr:rowOff>114300</xdr:rowOff>
    </xdr:to>
    <xdr:pic>
      <xdr:nvPicPr>
        <xdr:cNvPr id="576" name="Image 575">
          <a:extLst>
            <a:ext uri="{FF2B5EF4-FFF2-40B4-BE49-F238E27FC236}">
              <a16:creationId xmlns:a16="http://schemas.microsoft.com/office/drawing/2014/main" xmlns="" id="{00000000-0008-0000-0200-000040020000}"/>
            </a:ext>
          </a:extLst>
        </xdr:cNvPr>
        <xdr:cNvPicPr>
          <a:picLocks noChangeAspect="1"/>
        </xdr:cNvPicPr>
      </xdr:nvPicPr>
      <xdr:blipFill rotWithShape="1">
        <a:blip xmlns:r="http://schemas.openxmlformats.org/officeDocument/2006/relationships" r:embed="rId2"/>
        <a:srcRect l="7818" t="8205" r="6878" b="7738"/>
        <a:stretch/>
      </xdr:blipFill>
      <xdr:spPr>
        <a:xfrm>
          <a:off x="5902902" y="462791"/>
          <a:ext cx="1353560" cy="889759"/>
        </a:xfrm>
        <a:prstGeom prst="rect">
          <a:avLst/>
        </a:prstGeom>
      </xdr:spPr>
    </xdr:pic>
    <xdr:clientData/>
  </xdr:twoCellAnchor>
  <xdr:oneCellAnchor>
    <xdr:from>
      <xdr:col>21</xdr:col>
      <xdr:colOff>171450</xdr:colOff>
      <xdr:row>18</xdr:row>
      <xdr:rowOff>38100</xdr:rowOff>
    </xdr:from>
    <xdr:ext cx="4905375" cy="3209767"/>
    <xdr:pic>
      <xdr:nvPicPr>
        <xdr:cNvPr id="577" name="Image 576">
          <a:extLst>
            <a:ext uri="{FF2B5EF4-FFF2-40B4-BE49-F238E27FC236}">
              <a16:creationId xmlns:a16="http://schemas.microsoft.com/office/drawing/2014/main" xmlns="" id="{00000000-0008-0000-0200-00004102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64" t="20972" r="31045" b="30685"/>
        <a:stretch/>
      </xdr:blipFill>
      <xdr:spPr bwMode="auto">
        <a:xfrm>
          <a:off x="12811125" y="4552950"/>
          <a:ext cx="4905375" cy="32097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216477</xdr:colOff>
      <xdr:row>1</xdr:row>
      <xdr:rowOff>196091</xdr:rowOff>
    </xdr:from>
    <xdr:to>
      <xdr:col>8</xdr:col>
      <xdr:colOff>374309</xdr:colOff>
      <xdr:row>6</xdr:row>
      <xdr:rowOff>114300</xdr:rowOff>
    </xdr:to>
    <xdr:pic>
      <xdr:nvPicPr>
        <xdr:cNvPr id="445" name="Image 444">
          <a:extLst>
            <a:ext uri="{FF2B5EF4-FFF2-40B4-BE49-F238E27FC236}">
              <a16:creationId xmlns:a16="http://schemas.microsoft.com/office/drawing/2014/main" xmlns="" id="{00000000-0008-0000-0300-0000BD010000}"/>
            </a:ext>
          </a:extLst>
        </xdr:cNvPr>
        <xdr:cNvPicPr>
          <a:picLocks noChangeAspect="1"/>
        </xdr:cNvPicPr>
      </xdr:nvPicPr>
      <xdr:blipFill rotWithShape="1">
        <a:blip xmlns:r="http://schemas.openxmlformats.org/officeDocument/2006/relationships" r:embed="rId1"/>
        <a:srcRect l="7818" t="8205" r="6878" b="7738"/>
        <a:stretch/>
      </xdr:blipFill>
      <xdr:spPr>
        <a:xfrm>
          <a:off x="6855402" y="462791"/>
          <a:ext cx="1351179" cy="889759"/>
        </a:xfrm>
        <a:prstGeom prst="rect">
          <a:avLst/>
        </a:prstGeom>
      </xdr:spPr>
    </xdr:pic>
    <xdr:clientData/>
  </xdr:twoCellAnchor>
  <xdr:oneCellAnchor>
    <xdr:from>
      <xdr:col>20</xdr:col>
      <xdr:colOff>751419</xdr:colOff>
      <xdr:row>5</xdr:row>
      <xdr:rowOff>21166</xdr:rowOff>
    </xdr:from>
    <xdr:ext cx="6021916" cy="4307417"/>
    <xdr:pic>
      <xdr:nvPicPr>
        <xdr:cNvPr id="446" name="Image 445">
          <a:extLst>
            <a:ext uri="{FF2B5EF4-FFF2-40B4-BE49-F238E27FC236}">
              <a16:creationId xmlns:a16="http://schemas.microsoft.com/office/drawing/2014/main" xmlns="" id="{00000000-0008-0000-0300-0000BE01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1164" t="20972" r="31045" b="30685"/>
        <a:stretch/>
      </xdr:blipFill>
      <xdr:spPr bwMode="auto">
        <a:xfrm>
          <a:off x="20351752" y="1068916"/>
          <a:ext cx="6021916" cy="4307417"/>
        </a:xfrm>
        <a:prstGeom prst="rect">
          <a:avLst/>
        </a:prstGeom>
        <a:noFill/>
        <a:ln>
          <a:noFill/>
        </a:ln>
        <a:extLst>
          <a:ext uri="{53640926-AAD7-44D8-BBD7-CCE9431645EC}">
            <a14:shadowObscured xmlns:a14="http://schemas.microsoft.com/office/drawing/2010/main"/>
          </a:ext>
        </a:extLst>
      </xdr:spPr>
    </xdr:pic>
    <xdr:clientData/>
  </xdr:oneCellAnchor>
  <mc:AlternateContent xmlns:mc="http://schemas.openxmlformats.org/markup-compatibility/2006">
    <mc:Choice xmlns:a14="http://schemas.microsoft.com/office/drawing/2010/main" Requires="a14">
      <xdr:twoCellAnchor editAs="oneCell">
        <xdr:from>
          <xdr:col>7</xdr:col>
          <xdr:colOff>502920</xdr:colOff>
          <xdr:row>29</xdr:row>
          <xdr:rowOff>0</xdr:rowOff>
        </xdr:from>
        <xdr:to>
          <xdr:col>7</xdr:col>
          <xdr:colOff>754380</xdr:colOff>
          <xdr:row>29</xdr:row>
          <xdr:rowOff>228600</xdr:rowOff>
        </xdr:to>
        <xdr:sp macro="" textlink="">
          <xdr:nvSpPr>
            <xdr:cNvPr id="51261" name="Check Box 61" hidden="1">
              <a:extLst>
                <a:ext uri="{63B3BB69-23CF-44E3-9099-C40C66FF867C}">
                  <a14:compatExt spid="_x0000_s51261"/>
                </a:ext>
                <a:ext uri="{FF2B5EF4-FFF2-40B4-BE49-F238E27FC236}">
                  <a16:creationId xmlns:a16="http://schemas.microsoft.com/office/drawing/2014/main" xmlns="" id="{00000000-0008-0000-0300-00003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28</xdr:row>
          <xdr:rowOff>0</xdr:rowOff>
        </xdr:from>
        <xdr:to>
          <xdr:col>7</xdr:col>
          <xdr:colOff>754380</xdr:colOff>
          <xdr:row>28</xdr:row>
          <xdr:rowOff>228600</xdr:rowOff>
        </xdr:to>
        <xdr:sp macro="" textlink="">
          <xdr:nvSpPr>
            <xdr:cNvPr id="51382" name="Check Box 182" hidden="1">
              <a:extLst>
                <a:ext uri="{63B3BB69-23CF-44E3-9099-C40C66FF867C}">
                  <a14:compatExt spid="_x0000_s51382"/>
                </a:ext>
                <a:ext uri="{FF2B5EF4-FFF2-40B4-BE49-F238E27FC236}">
                  <a16:creationId xmlns:a16="http://schemas.microsoft.com/office/drawing/2014/main" xmlns="" id="{00000000-0008-0000-0300-0000B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30</xdr:row>
          <xdr:rowOff>0</xdr:rowOff>
        </xdr:from>
        <xdr:to>
          <xdr:col>7</xdr:col>
          <xdr:colOff>754380</xdr:colOff>
          <xdr:row>30</xdr:row>
          <xdr:rowOff>228600</xdr:rowOff>
        </xdr:to>
        <xdr:sp macro="" textlink="">
          <xdr:nvSpPr>
            <xdr:cNvPr id="51383" name="Check Box 183" hidden="1">
              <a:extLst>
                <a:ext uri="{63B3BB69-23CF-44E3-9099-C40C66FF867C}">
                  <a14:compatExt spid="_x0000_s51383"/>
                </a:ext>
                <a:ext uri="{FF2B5EF4-FFF2-40B4-BE49-F238E27FC236}">
                  <a16:creationId xmlns:a16="http://schemas.microsoft.com/office/drawing/2014/main" xmlns="" id="{00000000-0008-0000-0300-0000B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35</xdr:row>
          <xdr:rowOff>0</xdr:rowOff>
        </xdr:from>
        <xdr:to>
          <xdr:col>7</xdr:col>
          <xdr:colOff>754380</xdr:colOff>
          <xdr:row>35</xdr:row>
          <xdr:rowOff>228600</xdr:rowOff>
        </xdr:to>
        <xdr:sp macro="" textlink="">
          <xdr:nvSpPr>
            <xdr:cNvPr id="51388" name="Check Box 188" hidden="1">
              <a:extLst>
                <a:ext uri="{63B3BB69-23CF-44E3-9099-C40C66FF867C}">
                  <a14:compatExt spid="_x0000_s51388"/>
                </a:ext>
                <a:ext uri="{FF2B5EF4-FFF2-40B4-BE49-F238E27FC236}">
                  <a16:creationId xmlns:a16="http://schemas.microsoft.com/office/drawing/2014/main" xmlns="" id="{00000000-0008-0000-0300-0000B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36</xdr:row>
          <xdr:rowOff>0</xdr:rowOff>
        </xdr:from>
        <xdr:to>
          <xdr:col>7</xdr:col>
          <xdr:colOff>754380</xdr:colOff>
          <xdr:row>36</xdr:row>
          <xdr:rowOff>228600</xdr:rowOff>
        </xdr:to>
        <xdr:sp macro="" textlink="">
          <xdr:nvSpPr>
            <xdr:cNvPr id="51389" name="Check Box 189" hidden="1">
              <a:extLst>
                <a:ext uri="{63B3BB69-23CF-44E3-9099-C40C66FF867C}">
                  <a14:compatExt spid="_x0000_s51389"/>
                </a:ext>
                <a:ext uri="{FF2B5EF4-FFF2-40B4-BE49-F238E27FC236}">
                  <a16:creationId xmlns:a16="http://schemas.microsoft.com/office/drawing/2014/main" xmlns="" id="{00000000-0008-0000-0300-0000B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37</xdr:row>
          <xdr:rowOff>0</xdr:rowOff>
        </xdr:from>
        <xdr:to>
          <xdr:col>7</xdr:col>
          <xdr:colOff>754380</xdr:colOff>
          <xdr:row>37</xdr:row>
          <xdr:rowOff>228600</xdr:rowOff>
        </xdr:to>
        <xdr:sp macro="" textlink="">
          <xdr:nvSpPr>
            <xdr:cNvPr id="51390" name="Check Box 190" hidden="1">
              <a:extLst>
                <a:ext uri="{63B3BB69-23CF-44E3-9099-C40C66FF867C}">
                  <a14:compatExt spid="_x0000_s51390"/>
                </a:ext>
                <a:ext uri="{FF2B5EF4-FFF2-40B4-BE49-F238E27FC236}">
                  <a16:creationId xmlns:a16="http://schemas.microsoft.com/office/drawing/2014/main" xmlns="" id="{00000000-0008-0000-0300-0000B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38</xdr:row>
          <xdr:rowOff>0</xdr:rowOff>
        </xdr:from>
        <xdr:to>
          <xdr:col>7</xdr:col>
          <xdr:colOff>754380</xdr:colOff>
          <xdr:row>38</xdr:row>
          <xdr:rowOff>228600</xdr:rowOff>
        </xdr:to>
        <xdr:sp macro="" textlink="">
          <xdr:nvSpPr>
            <xdr:cNvPr id="51391" name="Check Box 191" hidden="1">
              <a:extLst>
                <a:ext uri="{63B3BB69-23CF-44E3-9099-C40C66FF867C}">
                  <a14:compatExt spid="_x0000_s51391"/>
                </a:ext>
                <a:ext uri="{FF2B5EF4-FFF2-40B4-BE49-F238E27FC236}">
                  <a16:creationId xmlns:a16="http://schemas.microsoft.com/office/drawing/2014/main" xmlns="" id="{00000000-0008-0000-0300-0000B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31</xdr:row>
          <xdr:rowOff>0</xdr:rowOff>
        </xdr:from>
        <xdr:to>
          <xdr:col>7</xdr:col>
          <xdr:colOff>754380</xdr:colOff>
          <xdr:row>31</xdr:row>
          <xdr:rowOff>228600</xdr:rowOff>
        </xdr:to>
        <xdr:sp macro="" textlink="">
          <xdr:nvSpPr>
            <xdr:cNvPr id="51392" name="Check Box 192" hidden="1">
              <a:extLst>
                <a:ext uri="{63B3BB69-23CF-44E3-9099-C40C66FF867C}">
                  <a14:compatExt spid="_x0000_s51392"/>
                </a:ext>
                <a:ext uri="{FF2B5EF4-FFF2-40B4-BE49-F238E27FC236}">
                  <a16:creationId xmlns:a16="http://schemas.microsoft.com/office/drawing/2014/main" xmlns="" id="{00000000-0008-0000-0300-0000C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32</xdr:row>
          <xdr:rowOff>0</xdr:rowOff>
        </xdr:from>
        <xdr:to>
          <xdr:col>7</xdr:col>
          <xdr:colOff>754380</xdr:colOff>
          <xdr:row>32</xdr:row>
          <xdr:rowOff>228600</xdr:rowOff>
        </xdr:to>
        <xdr:sp macro="" textlink="">
          <xdr:nvSpPr>
            <xdr:cNvPr id="51393" name="Check Box 193" hidden="1">
              <a:extLst>
                <a:ext uri="{63B3BB69-23CF-44E3-9099-C40C66FF867C}">
                  <a14:compatExt spid="_x0000_s51393"/>
                </a:ext>
                <a:ext uri="{FF2B5EF4-FFF2-40B4-BE49-F238E27FC236}">
                  <a16:creationId xmlns:a16="http://schemas.microsoft.com/office/drawing/2014/main" xmlns="" id="{00000000-0008-0000-0300-0000C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33</xdr:row>
          <xdr:rowOff>0</xdr:rowOff>
        </xdr:from>
        <xdr:to>
          <xdr:col>7</xdr:col>
          <xdr:colOff>754380</xdr:colOff>
          <xdr:row>33</xdr:row>
          <xdr:rowOff>228600</xdr:rowOff>
        </xdr:to>
        <xdr:sp macro="" textlink="">
          <xdr:nvSpPr>
            <xdr:cNvPr id="51394" name="Check Box 194" hidden="1">
              <a:extLst>
                <a:ext uri="{63B3BB69-23CF-44E3-9099-C40C66FF867C}">
                  <a14:compatExt spid="_x0000_s51394"/>
                </a:ext>
                <a:ext uri="{FF2B5EF4-FFF2-40B4-BE49-F238E27FC236}">
                  <a16:creationId xmlns:a16="http://schemas.microsoft.com/office/drawing/2014/main" xmlns="" id="{00000000-0008-0000-0300-0000C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34</xdr:row>
          <xdr:rowOff>0</xdr:rowOff>
        </xdr:from>
        <xdr:to>
          <xdr:col>7</xdr:col>
          <xdr:colOff>754380</xdr:colOff>
          <xdr:row>34</xdr:row>
          <xdr:rowOff>228600</xdr:rowOff>
        </xdr:to>
        <xdr:sp macro="" textlink="">
          <xdr:nvSpPr>
            <xdr:cNvPr id="51395" name="Check Box 195" hidden="1">
              <a:extLst>
                <a:ext uri="{63B3BB69-23CF-44E3-9099-C40C66FF867C}">
                  <a14:compatExt spid="_x0000_s51395"/>
                </a:ext>
                <a:ext uri="{FF2B5EF4-FFF2-40B4-BE49-F238E27FC236}">
                  <a16:creationId xmlns:a16="http://schemas.microsoft.com/office/drawing/2014/main" xmlns="" id="{00000000-0008-0000-0300-0000C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7</xdr:col>
      <xdr:colOff>332264</xdr:colOff>
      <xdr:row>1</xdr:row>
      <xdr:rowOff>35718</xdr:rowOff>
    </xdr:from>
    <xdr:to>
      <xdr:col>7</xdr:col>
      <xdr:colOff>1962355</xdr:colOff>
      <xdr:row>6</xdr:row>
      <xdr:rowOff>134022</xdr:rowOff>
    </xdr:to>
    <xdr:pic>
      <xdr:nvPicPr>
        <xdr:cNvPr id="2" name="Image 1">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1"/>
        <a:srcRect l="7818" t="8205" r="6878" b="7738"/>
        <a:stretch/>
      </xdr:blipFill>
      <xdr:spPr>
        <a:xfrm>
          <a:off x="8845233" y="297656"/>
          <a:ext cx="1608455" cy="1066996"/>
        </a:xfrm>
        <a:prstGeom prst="rect">
          <a:avLst/>
        </a:prstGeom>
      </xdr:spPr>
    </xdr:pic>
    <xdr:clientData/>
  </xdr:twoCellAnchor>
  <xdr:oneCellAnchor>
    <xdr:from>
      <xdr:col>20</xdr:col>
      <xdr:colOff>751419</xdr:colOff>
      <xdr:row>5</xdr:row>
      <xdr:rowOff>21166</xdr:rowOff>
    </xdr:from>
    <xdr:ext cx="6021916" cy="4307417"/>
    <xdr:pic>
      <xdr:nvPicPr>
        <xdr:cNvPr id="3" name="Image 2">
          <a:extLst>
            <a:ext uri="{FF2B5EF4-FFF2-40B4-BE49-F238E27FC236}">
              <a16:creationId xmlns:a16="http://schemas.microsoft.com/office/drawing/2014/main" xmlns="" id="{00000000-0008-0000-04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1164" t="20972" r="31045" b="30685"/>
        <a:stretch/>
      </xdr:blipFill>
      <xdr:spPr bwMode="auto">
        <a:xfrm>
          <a:off x="23135169" y="1068916"/>
          <a:ext cx="6021916" cy="4307417"/>
        </a:xfrm>
        <a:prstGeom prst="rect">
          <a:avLst/>
        </a:prstGeom>
        <a:noFill/>
        <a:ln>
          <a:noFill/>
        </a:ln>
        <a:extLst>
          <a:ext uri="{53640926-AAD7-44D8-BBD7-CCE9431645EC}">
            <a14:shadowObscured xmlns:a14="http://schemas.microsoft.com/office/drawing/2010/main"/>
          </a:ext>
        </a:extLst>
      </xdr:spPr>
    </xdr:pic>
    <xdr:clientData/>
  </xdr:oneCellAnchor>
  <mc:AlternateContent xmlns:mc="http://schemas.openxmlformats.org/markup-compatibility/2006">
    <mc:Choice xmlns:a14="http://schemas.microsoft.com/office/drawing/2010/main" Requires="a14">
      <xdr:twoCellAnchor editAs="oneCell">
        <xdr:from>
          <xdr:col>7</xdr:col>
          <xdr:colOff>502920</xdr:colOff>
          <xdr:row>30</xdr:row>
          <xdr:rowOff>0</xdr:rowOff>
        </xdr:from>
        <xdr:to>
          <xdr:col>7</xdr:col>
          <xdr:colOff>754380</xdr:colOff>
          <xdr:row>30</xdr:row>
          <xdr:rowOff>228600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xmlns="" id="{00000000-0008-0000-04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29</xdr:row>
          <xdr:rowOff>0</xdr:rowOff>
        </xdr:from>
        <xdr:to>
          <xdr:col>7</xdr:col>
          <xdr:colOff>754380</xdr:colOff>
          <xdr:row>29</xdr:row>
          <xdr:rowOff>228600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xmlns="" id="{00000000-0008-0000-04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31</xdr:row>
          <xdr:rowOff>0</xdr:rowOff>
        </xdr:from>
        <xdr:to>
          <xdr:col>7</xdr:col>
          <xdr:colOff>754380</xdr:colOff>
          <xdr:row>31</xdr:row>
          <xdr:rowOff>228600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xmlns="" id="{00000000-0008-0000-04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36</xdr:row>
          <xdr:rowOff>0</xdr:rowOff>
        </xdr:from>
        <xdr:to>
          <xdr:col>7</xdr:col>
          <xdr:colOff>754380</xdr:colOff>
          <xdr:row>36</xdr:row>
          <xdr:rowOff>228600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xmlns="" id="{00000000-0008-0000-04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37</xdr:row>
          <xdr:rowOff>0</xdr:rowOff>
        </xdr:from>
        <xdr:to>
          <xdr:col>7</xdr:col>
          <xdr:colOff>754380</xdr:colOff>
          <xdr:row>37</xdr:row>
          <xdr:rowOff>228600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xmlns="" id="{00000000-0008-0000-04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38</xdr:row>
          <xdr:rowOff>0</xdr:rowOff>
        </xdr:from>
        <xdr:to>
          <xdr:col>7</xdr:col>
          <xdr:colOff>754380</xdr:colOff>
          <xdr:row>38</xdr:row>
          <xdr:rowOff>228600</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xmlns="" id="{00000000-0008-0000-04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40</xdr:row>
          <xdr:rowOff>0</xdr:rowOff>
        </xdr:from>
        <xdr:to>
          <xdr:col>7</xdr:col>
          <xdr:colOff>754380</xdr:colOff>
          <xdr:row>40</xdr:row>
          <xdr:rowOff>228600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xmlns="" id="{00000000-0008-0000-04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33</xdr:row>
          <xdr:rowOff>0</xdr:rowOff>
        </xdr:from>
        <xdr:to>
          <xdr:col>7</xdr:col>
          <xdr:colOff>754380</xdr:colOff>
          <xdr:row>33</xdr:row>
          <xdr:rowOff>228600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xmlns="" id="{00000000-0008-0000-04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33</xdr:row>
          <xdr:rowOff>0</xdr:rowOff>
        </xdr:from>
        <xdr:to>
          <xdr:col>7</xdr:col>
          <xdr:colOff>754380</xdr:colOff>
          <xdr:row>33</xdr:row>
          <xdr:rowOff>228600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xmlns="" id="{00000000-0008-0000-04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34</xdr:row>
          <xdr:rowOff>0</xdr:rowOff>
        </xdr:from>
        <xdr:to>
          <xdr:col>7</xdr:col>
          <xdr:colOff>754380</xdr:colOff>
          <xdr:row>34</xdr:row>
          <xdr:rowOff>228600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xmlns="" id="{00000000-0008-0000-04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35</xdr:row>
          <xdr:rowOff>0</xdr:rowOff>
        </xdr:from>
        <xdr:to>
          <xdr:col>7</xdr:col>
          <xdr:colOff>754380</xdr:colOff>
          <xdr:row>35</xdr:row>
          <xdr:rowOff>228600</xdr:rowOff>
        </xdr:to>
        <xdr:sp macro="" textlink="">
          <xdr:nvSpPr>
            <xdr:cNvPr id="62475" name="Check Box 11" hidden="1">
              <a:extLst>
                <a:ext uri="{63B3BB69-23CF-44E3-9099-C40C66FF867C}">
                  <a14:compatExt spid="_x0000_s62475"/>
                </a:ext>
                <a:ext uri="{FF2B5EF4-FFF2-40B4-BE49-F238E27FC236}">
                  <a16:creationId xmlns:a16="http://schemas.microsoft.com/office/drawing/2014/main" xmlns="" id="{00000000-0008-0000-04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39</xdr:row>
          <xdr:rowOff>0</xdr:rowOff>
        </xdr:from>
        <xdr:to>
          <xdr:col>7</xdr:col>
          <xdr:colOff>754380</xdr:colOff>
          <xdr:row>39</xdr:row>
          <xdr:rowOff>228600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xmlns="" id="{00000000-0008-0000-04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32</xdr:row>
          <xdr:rowOff>0</xdr:rowOff>
        </xdr:from>
        <xdr:to>
          <xdr:col>7</xdr:col>
          <xdr:colOff>937260</xdr:colOff>
          <xdr:row>32</xdr:row>
          <xdr:rowOff>220980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xmlns="" id="{00000000-0008-0000-0400-00004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7</xdr:col>
      <xdr:colOff>99390</xdr:colOff>
      <xdr:row>1</xdr:row>
      <xdr:rowOff>30030</xdr:rowOff>
    </xdr:from>
    <xdr:ext cx="1710360" cy="1103069"/>
    <xdr:pic>
      <xdr:nvPicPr>
        <xdr:cNvPr id="2" name="Image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a:srcRect l="7818" t="8205" r="6878" b="7738"/>
        <a:stretch/>
      </xdr:blipFill>
      <xdr:spPr>
        <a:xfrm>
          <a:off x="5433390" y="220530"/>
          <a:ext cx="1710360" cy="110306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21</xdr:col>
      <xdr:colOff>171450</xdr:colOff>
      <xdr:row>79</xdr:row>
      <xdr:rowOff>0</xdr:rowOff>
    </xdr:from>
    <xdr:to>
      <xdr:col>27</xdr:col>
      <xdr:colOff>504825</xdr:colOff>
      <xdr:row>104</xdr:row>
      <xdr:rowOff>114141</xdr:rowOff>
    </xdr:to>
    <xdr:pic>
      <xdr:nvPicPr>
        <xdr:cNvPr id="2" name="Image 1">
          <a:extLst>
            <a:ext uri="{FF2B5EF4-FFF2-40B4-BE49-F238E27FC236}">
              <a16:creationId xmlns:a16="http://schemas.microsoft.com/office/drawing/2014/main" xmlns="" id="{00000000-0008-0000-09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64" t="20972" r="31045" b="30685"/>
        <a:stretch/>
      </xdr:blipFill>
      <xdr:spPr bwMode="auto">
        <a:xfrm>
          <a:off x="17640300" y="18326100"/>
          <a:ext cx="4905375" cy="3209766"/>
        </a:xfrm>
        <a:prstGeom prst="rect">
          <a:avLst/>
        </a:prstGeom>
        <a:noFill/>
        <a:ln>
          <a:noFill/>
        </a:ln>
        <a:extLst>
          <a:ext uri="{53640926-AAD7-44D8-BBD7-CCE9431645EC}">
            <a14:shadowObscured xmlns:a14="http://schemas.microsoft.com/office/drawing/2010/main"/>
          </a:ext>
        </a:extLst>
      </xdr:spPr>
    </xdr:pic>
    <xdr:clientData/>
  </xdr:twoCellAnchor>
  <xdr:twoCellAnchor>
    <xdr:from>
      <xdr:col>20</xdr:col>
      <xdr:colOff>114300</xdr:colOff>
      <xdr:row>106</xdr:row>
      <xdr:rowOff>152399</xdr:rowOff>
    </xdr:from>
    <xdr:to>
      <xdr:col>28</xdr:col>
      <xdr:colOff>685799</xdr:colOff>
      <xdr:row>133</xdr:row>
      <xdr:rowOff>142875</xdr:rowOff>
    </xdr:to>
    <xdr:grpSp>
      <xdr:nvGrpSpPr>
        <xdr:cNvPr id="3" name="Zone de dessin 798">
          <a:extLst>
            <a:ext uri="{FF2B5EF4-FFF2-40B4-BE49-F238E27FC236}">
              <a16:creationId xmlns:a16="http://schemas.microsoft.com/office/drawing/2014/main" xmlns="" id="{00000000-0008-0000-0900-000003000000}"/>
            </a:ext>
          </a:extLst>
        </xdr:cNvPr>
        <xdr:cNvGrpSpPr/>
      </xdr:nvGrpSpPr>
      <xdr:grpSpPr>
        <a:xfrm>
          <a:off x="18032506" y="21970252"/>
          <a:ext cx="6667499" cy="2870388"/>
          <a:chOff x="0" y="0"/>
          <a:chExt cx="6479540" cy="2630170"/>
        </a:xfrm>
      </xdr:grpSpPr>
      <xdr:sp macro="" textlink="">
        <xdr:nvSpPr>
          <xdr:cNvPr id="4" name="Rectangle 3">
            <a:extLst>
              <a:ext uri="{FF2B5EF4-FFF2-40B4-BE49-F238E27FC236}">
                <a16:creationId xmlns:a16="http://schemas.microsoft.com/office/drawing/2014/main" xmlns="" id="{00000000-0008-0000-0900-000004000000}"/>
              </a:ext>
            </a:extLst>
          </xdr:cNvPr>
          <xdr:cNvSpPr/>
        </xdr:nvSpPr>
        <xdr:spPr>
          <a:xfrm>
            <a:off x="0" y="0"/>
            <a:ext cx="6479540" cy="2630170"/>
          </a:xfrm>
          <a:prstGeom prst="rect">
            <a:avLst/>
          </a:prstGeom>
          <a:noFill/>
          <a:ln>
            <a:noFill/>
          </a:ln>
        </xdr:spPr>
      </xdr:sp>
      <xdr:sp macro="" textlink="">
        <xdr:nvSpPr>
          <xdr:cNvPr id="5" name="AutoShape 800">
            <a:extLst>
              <a:ext uri="{FF2B5EF4-FFF2-40B4-BE49-F238E27FC236}">
                <a16:creationId xmlns:a16="http://schemas.microsoft.com/office/drawing/2014/main" xmlns="" id="{00000000-0008-0000-0900-000005000000}"/>
              </a:ext>
            </a:extLst>
          </xdr:cNvPr>
          <xdr:cNvSpPr>
            <a:spLocks noChangeAspect="1" noChangeArrowheads="1"/>
          </xdr:cNvSpPr>
        </xdr:nvSpPr>
        <xdr:spPr bwMode="auto">
          <a:xfrm>
            <a:off x="0" y="3009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6" name="Rectangle 5">
            <a:extLst>
              <a:ext uri="{FF2B5EF4-FFF2-40B4-BE49-F238E27FC236}">
                <a16:creationId xmlns:a16="http://schemas.microsoft.com/office/drawing/2014/main" xmlns="" id="{00000000-0008-0000-0900-000006000000}"/>
              </a:ext>
            </a:extLst>
          </xdr:cNvPr>
          <xdr:cNvSpPr>
            <a:spLocks noChangeArrowheads="1"/>
          </xdr:cNvSpPr>
        </xdr:nvSpPr>
        <xdr:spPr bwMode="auto">
          <a:xfrm>
            <a:off x="2594610" y="2933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solidFill>
                <a:sysClr val="windowText" lastClr="000000"/>
              </a:solidFill>
            </a:endParaRPr>
          </a:p>
        </xdr:txBody>
      </xdr:sp>
      <xdr:sp macro="" textlink="">
        <xdr:nvSpPr>
          <xdr:cNvPr id="7" name="Rectangle 6">
            <a:extLst>
              <a:ext uri="{FF2B5EF4-FFF2-40B4-BE49-F238E27FC236}">
                <a16:creationId xmlns:a16="http://schemas.microsoft.com/office/drawing/2014/main" xmlns="" id="{00000000-0008-0000-0900-000007000000}"/>
              </a:ext>
            </a:extLst>
          </xdr:cNvPr>
          <xdr:cNvSpPr>
            <a:spLocks noChangeArrowheads="1"/>
          </xdr:cNvSpPr>
        </xdr:nvSpPr>
        <xdr:spPr bwMode="auto">
          <a:xfrm>
            <a:off x="2594610" y="2933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 name="Rectangle 7">
            <a:extLst>
              <a:ext uri="{FF2B5EF4-FFF2-40B4-BE49-F238E27FC236}">
                <a16:creationId xmlns:a16="http://schemas.microsoft.com/office/drawing/2014/main" xmlns="" id="{00000000-0008-0000-0900-000008000000}"/>
              </a:ext>
            </a:extLst>
          </xdr:cNvPr>
          <xdr:cNvSpPr>
            <a:spLocks noChangeArrowheads="1"/>
          </xdr:cNvSpPr>
        </xdr:nvSpPr>
        <xdr:spPr bwMode="auto">
          <a:xfrm>
            <a:off x="2936240" y="659130"/>
            <a:ext cx="60706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9" name="Line 804">
            <a:extLst>
              <a:ext uri="{FF2B5EF4-FFF2-40B4-BE49-F238E27FC236}">
                <a16:creationId xmlns:a16="http://schemas.microsoft.com/office/drawing/2014/main" xmlns="" id="{00000000-0008-0000-0900-000009000000}"/>
              </a:ext>
            </a:extLst>
          </xdr:cNvPr>
          <xdr:cNvCxnSpPr/>
        </xdr:nvCxnSpPr>
        <xdr:spPr bwMode="auto">
          <a:xfrm flipH="1">
            <a:off x="3908425" y="13665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 name="Freeform 805">
            <a:extLst>
              <a:ext uri="{FF2B5EF4-FFF2-40B4-BE49-F238E27FC236}">
                <a16:creationId xmlns:a16="http://schemas.microsoft.com/office/drawing/2014/main" xmlns="" id="{00000000-0008-0000-0900-00000A000000}"/>
              </a:ext>
            </a:extLst>
          </xdr:cNvPr>
          <xdr:cNvSpPr>
            <a:spLocks/>
          </xdr:cNvSpPr>
        </xdr:nvSpPr>
        <xdr:spPr bwMode="auto">
          <a:xfrm>
            <a:off x="3828415" y="13220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cxnSp macro="">
        <xdr:nvCxnSpPr>
          <xdr:cNvPr id="11" name="Line 806">
            <a:extLst>
              <a:ext uri="{FF2B5EF4-FFF2-40B4-BE49-F238E27FC236}">
                <a16:creationId xmlns:a16="http://schemas.microsoft.com/office/drawing/2014/main" xmlns="" id="{00000000-0008-0000-0900-00000B000000}"/>
              </a:ext>
            </a:extLst>
          </xdr:cNvPr>
          <xdr:cNvCxnSpPr/>
        </xdr:nvCxnSpPr>
        <xdr:spPr bwMode="auto">
          <a:xfrm>
            <a:off x="3828415" y="6000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2" name="Line 807">
            <a:extLst>
              <a:ext uri="{FF2B5EF4-FFF2-40B4-BE49-F238E27FC236}">
                <a16:creationId xmlns:a16="http://schemas.microsoft.com/office/drawing/2014/main" xmlns="" id="{00000000-0008-0000-0900-00000C000000}"/>
              </a:ext>
            </a:extLst>
          </xdr:cNvPr>
          <xdr:cNvCxnSpPr/>
        </xdr:nvCxnSpPr>
        <xdr:spPr bwMode="auto">
          <a:xfrm flipH="1">
            <a:off x="1094105" y="6000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3" name="Rectangle 12">
            <a:extLst>
              <a:ext uri="{FF2B5EF4-FFF2-40B4-BE49-F238E27FC236}">
                <a16:creationId xmlns:a16="http://schemas.microsoft.com/office/drawing/2014/main" xmlns="" id="{00000000-0008-0000-0900-00000D000000}"/>
              </a:ext>
            </a:extLst>
          </xdr:cNvPr>
          <xdr:cNvSpPr>
            <a:spLocks noChangeArrowheads="1"/>
          </xdr:cNvSpPr>
        </xdr:nvSpPr>
        <xdr:spPr bwMode="auto">
          <a:xfrm>
            <a:off x="16510" y="4464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4" name="Rectangle 13">
            <a:extLst>
              <a:ext uri="{FF2B5EF4-FFF2-40B4-BE49-F238E27FC236}">
                <a16:creationId xmlns:a16="http://schemas.microsoft.com/office/drawing/2014/main" xmlns="" id="{00000000-0008-0000-0900-00000E000000}"/>
              </a:ext>
            </a:extLst>
          </xdr:cNvPr>
          <xdr:cNvSpPr>
            <a:spLocks noChangeArrowheads="1"/>
          </xdr:cNvSpPr>
        </xdr:nvSpPr>
        <xdr:spPr bwMode="auto">
          <a:xfrm>
            <a:off x="16510" y="4464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5" name="Rectangle 14">
            <a:extLst>
              <a:ext uri="{FF2B5EF4-FFF2-40B4-BE49-F238E27FC236}">
                <a16:creationId xmlns:a16="http://schemas.microsoft.com/office/drawing/2014/main" xmlns="" id="{00000000-0008-0000-0900-00000F000000}"/>
              </a:ext>
            </a:extLst>
          </xdr:cNvPr>
          <xdr:cNvSpPr>
            <a:spLocks noChangeArrowheads="1"/>
          </xdr:cNvSpPr>
        </xdr:nvSpPr>
        <xdr:spPr bwMode="auto">
          <a:xfrm>
            <a:off x="187960" y="7950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 name="Rectangle 15">
            <a:extLst>
              <a:ext uri="{FF2B5EF4-FFF2-40B4-BE49-F238E27FC236}">
                <a16:creationId xmlns:a16="http://schemas.microsoft.com/office/drawing/2014/main" xmlns="" id="{00000000-0008-0000-0900-000010000000}"/>
              </a:ext>
            </a:extLst>
          </xdr:cNvPr>
          <xdr:cNvSpPr>
            <a:spLocks noChangeArrowheads="1"/>
          </xdr:cNvSpPr>
        </xdr:nvSpPr>
        <xdr:spPr bwMode="auto">
          <a:xfrm>
            <a:off x="5385435" y="4464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7" name="Rectangle 16">
            <a:extLst>
              <a:ext uri="{FF2B5EF4-FFF2-40B4-BE49-F238E27FC236}">
                <a16:creationId xmlns:a16="http://schemas.microsoft.com/office/drawing/2014/main" xmlns="" id="{00000000-0008-0000-0900-000011000000}"/>
              </a:ext>
            </a:extLst>
          </xdr:cNvPr>
          <xdr:cNvSpPr>
            <a:spLocks noChangeArrowheads="1"/>
          </xdr:cNvSpPr>
        </xdr:nvSpPr>
        <xdr:spPr bwMode="auto">
          <a:xfrm>
            <a:off x="5385435" y="4464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8" name="Rectangle 17">
            <a:extLst>
              <a:ext uri="{FF2B5EF4-FFF2-40B4-BE49-F238E27FC236}">
                <a16:creationId xmlns:a16="http://schemas.microsoft.com/office/drawing/2014/main" xmlns="" id="{00000000-0008-0000-0900-000012000000}"/>
              </a:ext>
            </a:extLst>
          </xdr:cNvPr>
          <xdr:cNvSpPr>
            <a:spLocks noChangeArrowheads="1"/>
          </xdr:cNvSpPr>
        </xdr:nvSpPr>
        <xdr:spPr bwMode="auto">
          <a:xfrm>
            <a:off x="5471160" y="8775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9" name="Line 814">
            <a:extLst>
              <a:ext uri="{FF2B5EF4-FFF2-40B4-BE49-F238E27FC236}">
                <a16:creationId xmlns:a16="http://schemas.microsoft.com/office/drawing/2014/main" xmlns="" id="{00000000-0008-0000-0900-000013000000}"/>
              </a:ext>
            </a:extLst>
          </xdr:cNvPr>
          <xdr:cNvCxnSpPr/>
        </xdr:nvCxnSpPr>
        <xdr:spPr bwMode="auto">
          <a:xfrm>
            <a:off x="1094105" y="13665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0" name="Freeform 815">
            <a:extLst>
              <a:ext uri="{FF2B5EF4-FFF2-40B4-BE49-F238E27FC236}">
                <a16:creationId xmlns:a16="http://schemas.microsoft.com/office/drawing/2014/main" xmlns="" id="{00000000-0008-0000-0900-000014000000}"/>
              </a:ext>
            </a:extLst>
          </xdr:cNvPr>
          <xdr:cNvSpPr>
            <a:spLocks/>
          </xdr:cNvSpPr>
        </xdr:nvSpPr>
        <xdr:spPr bwMode="auto">
          <a:xfrm>
            <a:off x="2504440" y="13220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21" name="Oval 816">
            <a:extLst>
              <a:ext uri="{FF2B5EF4-FFF2-40B4-BE49-F238E27FC236}">
                <a16:creationId xmlns:a16="http://schemas.microsoft.com/office/drawing/2014/main" xmlns="" id="{00000000-0008-0000-0900-000015000000}"/>
              </a:ext>
            </a:extLst>
          </xdr:cNvPr>
          <xdr:cNvSpPr>
            <a:spLocks noChangeArrowheads="1"/>
          </xdr:cNvSpPr>
        </xdr:nvSpPr>
        <xdr:spPr bwMode="auto">
          <a:xfrm>
            <a:off x="2009140" y="4622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2" name="Oval 817">
            <a:extLst>
              <a:ext uri="{FF2B5EF4-FFF2-40B4-BE49-F238E27FC236}">
                <a16:creationId xmlns:a16="http://schemas.microsoft.com/office/drawing/2014/main" xmlns="" id="{00000000-0008-0000-0900-000016000000}"/>
              </a:ext>
            </a:extLst>
          </xdr:cNvPr>
          <xdr:cNvSpPr>
            <a:spLocks noChangeArrowheads="1"/>
          </xdr:cNvSpPr>
        </xdr:nvSpPr>
        <xdr:spPr bwMode="auto">
          <a:xfrm>
            <a:off x="2009140" y="4622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3" name="Rectangle 22">
            <a:extLst>
              <a:ext uri="{FF2B5EF4-FFF2-40B4-BE49-F238E27FC236}">
                <a16:creationId xmlns:a16="http://schemas.microsoft.com/office/drawing/2014/main" xmlns="" id="{00000000-0008-0000-0900-000017000000}"/>
              </a:ext>
            </a:extLst>
          </xdr:cNvPr>
          <xdr:cNvSpPr>
            <a:spLocks noChangeArrowheads="1"/>
          </xdr:cNvSpPr>
        </xdr:nvSpPr>
        <xdr:spPr bwMode="auto">
          <a:xfrm>
            <a:off x="2096770"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 name="Oval 819">
            <a:extLst>
              <a:ext uri="{FF2B5EF4-FFF2-40B4-BE49-F238E27FC236}">
                <a16:creationId xmlns:a16="http://schemas.microsoft.com/office/drawing/2014/main" xmlns="" id="{00000000-0008-0000-0900-000018000000}"/>
              </a:ext>
            </a:extLst>
          </xdr:cNvPr>
          <xdr:cNvSpPr>
            <a:spLocks noChangeArrowheads="1"/>
          </xdr:cNvSpPr>
        </xdr:nvSpPr>
        <xdr:spPr bwMode="auto">
          <a:xfrm>
            <a:off x="4956810" y="4622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5" name="Oval 820">
            <a:extLst>
              <a:ext uri="{FF2B5EF4-FFF2-40B4-BE49-F238E27FC236}">
                <a16:creationId xmlns:a16="http://schemas.microsoft.com/office/drawing/2014/main" xmlns="" id="{00000000-0008-0000-0900-000019000000}"/>
              </a:ext>
            </a:extLst>
          </xdr:cNvPr>
          <xdr:cNvSpPr>
            <a:spLocks noChangeArrowheads="1"/>
          </xdr:cNvSpPr>
        </xdr:nvSpPr>
        <xdr:spPr bwMode="auto">
          <a:xfrm>
            <a:off x="4956810" y="4622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6" name="Rectangle 25">
            <a:extLst>
              <a:ext uri="{FF2B5EF4-FFF2-40B4-BE49-F238E27FC236}">
                <a16:creationId xmlns:a16="http://schemas.microsoft.com/office/drawing/2014/main" xmlns="" id="{00000000-0008-0000-0900-00001A000000}"/>
              </a:ext>
            </a:extLst>
          </xdr:cNvPr>
          <xdr:cNvSpPr>
            <a:spLocks noChangeArrowheads="1"/>
          </xdr:cNvSpPr>
        </xdr:nvSpPr>
        <xdr:spPr bwMode="auto">
          <a:xfrm>
            <a:off x="5045075"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 name="Freeform 822">
            <a:extLst>
              <a:ext uri="{FF2B5EF4-FFF2-40B4-BE49-F238E27FC236}">
                <a16:creationId xmlns:a16="http://schemas.microsoft.com/office/drawing/2014/main" xmlns="" id="{00000000-0008-0000-0900-00001B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28" name="Freeform 823">
            <a:extLst>
              <a:ext uri="{FF2B5EF4-FFF2-40B4-BE49-F238E27FC236}">
                <a16:creationId xmlns:a16="http://schemas.microsoft.com/office/drawing/2014/main" xmlns="" id="{00000000-0008-0000-0900-00001C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9" name="Rectangle 28">
            <a:extLst>
              <a:ext uri="{FF2B5EF4-FFF2-40B4-BE49-F238E27FC236}">
                <a16:creationId xmlns:a16="http://schemas.microsoft.com/office/drawing/2014/main" xmlns="" id="{00000000-0008-0000-0900-00001D000000}"/>
              </a:ext>
            </a:extLst>
          </xdr:cNvPr>
          <xdr:cNvSpPr>
            <a:spLocks noChangeArrowheads="1"/>
          </xdr:cNvSpPr>
        </xdr:nvSpPr>
        <xdr:spPr bwMode="auto">
          <a:xfrm>
            <a:off x="1280160" y="920115"/>
            <a:ext cx="335280" cy="15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0" name="Freeform 825">
            <a:extLst>
              <a:ext uri="{FF2B5EF4-FFF2-40B4-BE49-F238E27FC236}">
                <a16:creationId xmlns:a16="http://schemas.microsoft.com/office/drawing/2014/main" xmlns="" id="{00000000-0008-0000-0900-00001E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31" name="Freeform 826">
            <a:extLst>
              <a:ext uri="{FF2B5EF4-FFF2-40B4-BE49-F238E27FC236}">
                <a16:creationId xmlns:a16="http://schemas.microsoft.com/office/drawing/2014/main" xmlns="" id="{00000000-0008-0000-0900-00001F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32" name="Rectangle 31">
            <a:extLst>
              <a:ext uri="{FF2B5EF4-FFF2-40B4-BE49-F238E27FC236}">
                <a16:creationId xmlns:a16="http://schemas.microsoft.com/office/drawing/2014/main" xmlns="" id="{00000000-0008-0000-0900-000020000000}"/>
              </a:ext>
            </a:extLst>
          </xdr:cNvPr>
          <xdr:cNvSpPr>
            <a:spLocks noChangeArrowheads="1"/>
          </xdr:cNvSpPr>
        </xdr:nvSpPr>
        <xdr:spPr bwMode="auto">
          <a:xfrm>
            <a:off x="4253230" y="923290"/>
            <a:ext cx="356870" cy="16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3" name="Line 828">
            <a:extLst>
              <a:ext uri="{FF2B5EF4-FFF2-40B4-BE49-F238E27FC236}">
                <a16:creationId xmlns:a16="http://schemas.microsoft.com/office/drawing/2014/main" xmlns="" id="{00000000-0008-0000-0900-000021000000}"/>
              </a:ext>
            </a:extLst>
          </xdr:cNvPr>
          <xdr:cNvCxnSpPr/>
        </xdr:nvCxnSpPr>
        <xdr:spPr bwMode="auto">
          <a:xfrm>
            <a:off x="4371975" y="6038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4" name="Line 829">
            <a:extLst>
              <a:ext uri="{FF2B5EF4-FFF2-40B4-BE49-F238E27FC236}">
                <a16:creationId xmlns:a16="http://schemas.microsoft.com/office/drawing/2014/main" xmlns="" id="{00000000-0008-0000-0900-000022000000}"/>
              </a:ext>
            </a:extLst>
          </xdr:cNvPr>
          <xdr:cNvCxnSpPr/>
        </xdr:nvCxnSpPr>
        <xdr:spPr bwMode="auto">
          <a:xfrm>
            <a:off x="4371975" y="10756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5" name="Line 830">
            <a:extLst>
              <a:ext uri="{FF2B5EF4-FFF2-40B4-BE49-F238E27FC236}">
                <a16:creationId xmlns:a16="http://schemas.microsoft.com/office/drawing/2014/main" xmlns="" id="{00000000-0008-0000-0900-000023000000}"/>
              </a:ext>
            </a:extLst>
          </xdr:cNvPr>
          <xdr:cNvCxnSpPr/>
        </xdr:nvCxnSpPr>
        <xdr:spPr bwMode="auto">
          <a:xfrm flipV="1">
            <a:off x="1403350" y="1072515"/>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 name="Line 831">
            <a:extLst>
              <a:ext uri="{FF2B5EF4-FFF2-40B4-BE49-F238E27FC236}">
                <a16:creationId xmlns:a16="http://schemas.microsoft.com/office/drawing/2014/main" xmlns="" id="{00000000-0008-0000-0900-000024000000}"/>
              </a:ext>
            </a:extLst>
          </xdr:cNvPr>
          <xdr:cNvCxnSpPr/>
        </xdr:nvCxnSpPr>
        <xdr:spPr bwMode="auto">
          <a:xfrm flipV="1">
            <a:off x="1403350" y="6000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 name="Line 832">
            <a:extLst>
              <a:ext uri="{FF2B5EF4-FFF2-40B4-BE49-F238E27FC236}">
                <a16:creationId xmlns:a16="http://schemas.microsoft.com/office/drawing/2014/main" xmlns="" id="{00000000-0008-0000-0900-000025000000}"/>
              </a:ext>
            </a:extLst>
          </xdr:cNvPr>
          <xdr:cNvCxnSpPr/>
        </xdr:nvCxnSpPr>
        <xdr:spPr bwMode="auto">
          <a:xfrm flipH="1">
            <a:off x="4225925" y="12160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8" name="Line 833">
            <a:extLst>
              <a:ext uri="{FF2B5EF4-FFF2-40B4-BE49-F238E27FC236}">
                <a16:creationId xmlns:a16="http://schemas.microsoft.com/office/drawing/2014/main" xmlns="" id="{00000000-0008-0000-0900-000026000000}"/>
              </a:ext>
            </a:extLst>
          </xdr:cNvPr>
          <xdr:cNvCxnSpPr/>
        </xdr:nvCxnSpPr>
        <xdr:spPr bwMode="auto">
          <a:xfrm flipH="1">
            <a:off x="4232910" y="7562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9" name="Line 834">
            <a:extLst>
              <a:ext uri="{FF2B5EF4-FFF2-40B4-BE49-F238E27FC236}">
                <a16:creationId xmlns:a16="http://schemas.microsoft.com/office/drawing/2014/main" xmlns="" id="{00000000-0008-0000-0900-000027000000}"/>
              </a:ext>
            </a:extLst>
          </xdr:cNvPr>
          <xdr:cNvCxnSpPr/>
        </xdr:nvCxnSpPr>
        <xdr:spPr bwMode="auto">
          <a:xfrm>
            <a:off x="1403350" y="7531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40" name="Line 835">
            <a:extLst>
              <a:ext uri="{FF2B5EF4-FFF2-40B4-BE49-F238E27FC236}">
                <a16:creationId xmlns:a16="http://schemas.microsoft.com/office/drawing/2014/main" xmlns="" id="{00000000-0008-0000-0900-000028000000}"/>
              </a:ext>
            </a:extLst>
          </xdr:cNvPr>
          <xdr:cNvCxnSpPr/>
        </xdr:nvCxnSpPr>
        <xdr:spPr bwMode="auto">
          <a:xfrm>
            <a:off x="1403350" y="12128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41" name="Oval 836">
            <a:extLst>
              <a:ext uri="{FF2B5EF4-FFF2-40B4-BE49-F238E27FC236}">
                <a16:creationId xmlns:a16="http://schemas.microsoft.com/office/drawing/2014/main" xmlns="" id="{00000000-0008-0000-0900-000029000000}"/>
              </a:ext>
            </a:extLst>
          </xdr:cNvPr>
          <xdr:cNvSpPr>
            <a:spLocks noChangeArrowheads="1"/>
          </xdr:cNvSpPr>
        </xdr:nvSpPr>
        <xdr:spPr bwMode="auto">
          <a:xfrm>
            <a:off x="1556385" y="11366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2" name="Oval 837">
            <a:extLst>
              <a:ext uri="{FF2B5EF4-FFF2-40B4-BE49-F238E27FC236}">
                <a16:creationId xmlns:a16="http://schemas.microsoft.com/office/drawing/2014/main" xmlns="" id="{00000000-0008-0000-0900-00002A000000}"/>
              </a:ext>
            </a:extLst>
          </xdr:cNvPr>
          <xdr:cNvSpPr>
            <a:spLocks noChangeArrowheads="1"/>
          </xdr:cNvSpPr>
        </xdr:nvSpPr>
        <xdr:spPr bwMode="auto">
          <a:xfrm>
            <a:off x="1556385" y="11366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3" name="Rectangle 42">
            <a:extLst>
              <a:ext uri="{FF2B5EF4-FFF2-40B4-BE49-F238E27FC236}">
                <a16:creationId xmlns:a16="http://schemas.microsoft.com/office/drawing/2014/main" xmlns="" id="{00000000-0008-0000-0900-00002B000000}"/>
              </a:ext>
            </a:extLst>
          </xdr:cNvPr>
          <xdr:cNvSpPr>
            <a:spLocks noChangeArrowheads="1"/>
          </xdr:cNvSpPr>
        </xdr:nvSpPr>
        <xdr:spPr bwMode="auto">
          <a:xfrm>
            <a:off x="1598930" y="11461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4" name="Oval 839">
            <a:extLst>
              <a:ext uri="{FF2B5EF4-FFF2-40B4-BE49-F238E27FC236}">
                <a16:creationId xmlns:a16="http://schemas.microsoft.com/office/drawing/2014/main" xmlns="" id="{00000000-0008-0000-0900-00002C000000}"/>
              </a:ext>
            </a:extLst>
          </xdr:cNvPr>
          <xdr:cNvSpPr>
            <a:spLocks noChangeArrowheads="1"/>
          </xdr:cNvSpPr>
        </xdr:nvSpPr>
        <xdr:spPr bwMode="auto">
          <a:xfrm>
            <a:off x="1556385" y="6762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5" name="Oval 840">
            <a:extLst>
              <a:ext uri="{FF2B5EF4-FFF2-40B4-BE49-F238E27FC236}">
                <a16:creationId xmlns:a16="http://schemas.microsoft.com/office/drawing/2014/main" xmlns="" id="{00000000-0008-0000-0900-00002D000000}"/>
              </a:ext>
            </a:extLst>
          </xdr:cNvPr>
          <xdr:cNvSpPr>
            <a:spLocks noChangeArrowheads="1"/>
          </xdr:cNvSpPr>
        </xdr:nvSpPr>
        <xdr:spPr bwMode="auto">
          <a:xfrm>
            <a:off x="1556385" y="6762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6" name="Rectangle 45">
            <a:extLst>
              <a:ext uri="{FF2B5EF4-FFF2-40B4-BE49-F238E27FC236}">
                <a16:creationId xmlns:a16="http://schemas.microsoft.com/office/drawing/2014/main" xmlns="" id="{00000000-0008-0000-0900-00002E000000}"/>
              </a:ext>
            </a:extLst>
          </xdr:cNvPr>
          <xdr:cNvSpPr>
            <a:spLocks noChangeArrowheads="1"/>
          </xdr:cNvSpPr>
        </xdr:nvSpPr>
        <xdr:spPr bwMode="auto">
          <a:xfrm>
            <a:off x="1598930" y="6921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7" name="Oval 842">
            <a:extLst>
              <a:ext uri="{FF2B5EF4-FFF2-40B4-BE49-F238E27FC236}">
                <a16:creationId xmlns:a16="http://schemas.microsoft.com/office/drawing/2014/main" xmlns="" id="{00000000-0008-0000-0900-00002F000000}"/>
              </a:ext>
            </a:extLst>
          </xdr:cNvPr>
          <xdr:cNvSpPr>
            <a:spLocks noChangeArrowheads="1"/>
          </xdr:cNvSpPr>
        </xdr:nvSpPr>
        <xdr:spPr bwMode="auto">
          <a:xfrm>
            <a:off x="4064000" y="11404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8" name="Oval 843">
            <a:extLst>
              <a:ext uri="{FF2B5EF4-FFF2-40B4-BE49-F238E27FC236}">
                <a16:creationId xmlns:a16="http://schemas.microsoft.com/office/drawing/2014/main" xmlns="" id="{00000000-0008-0000-0900-000030000000}"/>
              </a:ext>
            </a:extLst>
          </xdr:cNvPr>
          <xdr:cNvSpPr>
            <a:spLocks noChangeArrowheads="1"/>
          </xdr:cNvSpPr>
        </xdr:nvSpPr>
        <xdr:spPr bwMode="auto">
          <a:xfrm>
            <a:off x="4064000" y="11404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9" name="Rectangle 48">
            <a:extLst>
              <a:ext uri="{FF2B5EF4-FFF2-40B4-BE49-F238E27FC236}">
                <a16:creationId xmlns:a16="http://schemas.microsoft.com/office/drawing/2014/main" xmlns="" id="{00000000-0008-0000-0900-000031000000}"/>
              </a:ext>
            </a:extLst>
          </xdr:cNvPr>
          <xdr:cNvSpPr>
            <a:spLocks noChangeArrowheads="1"/>
          </xdr:cNvSpPr>
        </xdr:nvSpPr>
        <xdr:spPr bwMode="auto">
          <a:xfrm>
            <a:off x="4107180" y="11499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0" name="Oval 845">
            <a:extLst>
              <a:ext uri="{FF2B5EF4-FFF2-40B4-BE49-F238E27FC236}">
                <a16:creationId xmlns:a16="http://schemas.microsoft.com/office/drawing/2014/main" xmlns="" id="{00000000-0008-0000-0900-000032000000}"/>
              </a:ext>
            </a:extLst>
          </xdr:cNvPr>
          <xdr:cNvSpPr>
            <a:spLocks noChangeArrowheads="1"/>
          </xdr:cNvSpPr>
        </xdr:nvSpPr>
        <xdr:spPr bwMode="auto">
          <a:xfrm>
            <a:off x="4064000" y="6807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51" name="Oval 846">
            <a:extLst>
              <a:ext uri="{FF2B5EF4-FFF2-40B4-BE49-F238E27FC236}">
                <a16:creationId xmlns:a16="http://schemas.microsoft.com/office/drawing/2014/main" xmlns="" id="{00000000-0008-0000-0900-000033000000}"/>
              </a:ext>
            </a:extLst>
          </xdr:cNvPr>
          <xdr:cNvSpPr>
            <a:spLocks noChangeArrowheads="1"/>
          </xdr:cNvSpPr>
        </xdr:nvSpPr>
        <xdr:spPr bwMode="auto">
          <a:xfrm>
            <a:off x="4064000" y="6807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2" name="Rectangle 51">
            <a:extLst>
              <a:ext uri="{FF2B5EF4-FFF2-40B4-BE49-F238E27FC236}">
                <a16:creationId xmlns:a16="http://schemas.microsoft.com/office/drawing/2014/main" xmlns="" id="{00000000-0008-0000-0900-000034000000}"/>
              </a:ext>
            </a:extLst>
          </xdr:cNvPr>
          <xdr:cNvSpPr>
            <a:spLocks noChangeArrowheads="1"/>
          </xdr:cNvSpPr>
        </xdr:nvSpPr>
        <xdr:spPr bwMode="auto">
          <a:xfrm>
            <a:off x="4107180" y="6953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3" name="Freeform 848">
            <a:extLst>
              <a:ext uri="{FF2B5EF4-FFF2-40B4-BE49-F238E27FC236}">
                <a16:creationId xmlns:a16="http://schemas.microsoft.com/office/drawing/2014/main" xmlns="" id="{00000000-0008-0000-0900-000035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4" name="Freeform 849">
            <a:extLst>
              <a:ext uri="{FF2B5EF4-FFF2-40B4-BE49-F238E27FC236}">
                <a16:creationId xmlns:a16="http://schemas.microsoft.com/office/drawing/2014/main" xmlns="" id="{00000000-0008-0000-0900-000036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5" name="Rectangle 54">
            <a:extLst>
              <a:ext uri="{FF2B5EF4-FFF2-40B4-BE49-F238E27FC236}">
                <a16:creationId xmlns:a16="http://schemas.microsoft.com/office/drawing/2014/main" xmlns="" id="{00000000-0008-0000-0900-000037000000}"/>
              </a:ext>
            </a:extLst>
          </xdr:cNvPr>
          <xdr:cNvSpPr>
            <a:spLocks noChangeArrowheads="1"/>
          </xdr:cNvSpPr>
        </xdr:nvSpPr>
        <xdr:spPr bwMode="auto">
          <a:xfrm>
            <a:off x="4988560" y="927734"/>
            <a:ext cx="353060" cy="16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3</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6" name="Freeform 851">
            <a:extLst>
              <a:ext uri="{FF2B5EF4-FFF2-40B4-BE49-F238E27FC236}">
                <a16:creationId xmlns:a16="http://schemas.microsoft.com/office/drawing/2014/main" xmlns="" id="{00000000-0008-0000-0900-000038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7" name="Freeform 852">
            <a:extLst>
              <a:ext uri="{FF2B5EF4-FFF2-40B4-BE49-F238E27FC236}">
                <a16:creationId xmlns:a16="http://schemas.microsoft.com/office/drawing/2014/main" xmlns="" id="{00000000-0008-0000-0900-000039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8" name="Rectangle 57">
            <a:extLst>
              <a:ext uri="{FF2B5EF4-FFF2-40B4-BE49-F238E27FC236}">
                <a16:creationId xmlns:a16="http://schemas.microsoft.com/office/drawing/2014/main" xmlns="" id="{00000000-0008-0000-0900-00003A000000}"/>
              </a:ext>
            </a:extLst>
          </xdr:cNvPr>
          <xdr:cNvSpPr>
            <a:spLocks noChangeArrowheads="1"/>
          </xdr:cNvSpPr>
        </xdr:nvSpPr>
        <xdr:spPr bwMode="auto">
          <a:xfrm>
            <a:off x="2022474" y="920114"/>
            <a:ext cx="377826" cy="15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4</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59" name="Line 854">
            <a:extLst>
              <a:ext uri="{FF2B5EF4-FFF2-40B4-BE49-F238E27FC236}">
                <a16:creationId xmlns:a16="http://schemas.microsoft.com/office/drawing/2014/main" xmlns="" id="{00000000-0008-0000-0900-00003B000000}"/>
              </a:ext>
            </a:extLst>
          </xdr:cNvPr>
          <xdr:cNvCxnSpPr/>
        </xdr:nvCxnSpPr>
        <xdr:spPr bwMode="auto">
          <a:xfrm>
            <a:off x="5102225" y="7366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60" name="Line 855">
            <a:extLst>
              <a:ext uri="{FF2B5EF4-FFF2-40B4-BE49-F238E27FC236}">
                <a16:creationId xmlns:a16="http://schemas.microsoft.com/office/drawing/2014/main" xmlns="" id="{00000000-0008-0000-0900-00003C000000}"/>
              </a:ext>
            </a:extLst>
          </xdr:cNvPr>
          <xdr:cNvCxnSpPr/>
        </xdr:nvCxnSpPr>
        <xdr:spPr bwMode="auto">
          <a:xfrm>
            <a:off x="2141220" y="7366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61" name="Rectangle 60">
            <a:extLst>
              <a:ext uri="{FF2B5EF4-FFF2-40B4-BE49-F238E27FC236}">
                <a16:creationId xmlns:a16="http://schemas.microsoft.com/office/drawing/2014/main" xmlns="" id="{00000000-0008-0000-0900-00003D000000}"/>
              </a:ext>
            </a:extLst>
          </xdr:cNvPr>
          <xdr:cNvSpPr>
            <a:spLocks noChangeArrowheads="1"/>
          </xdr:cNvSpPr>
        </xdr:nvSpPr>
        <xdr:spPr bwMode="auto">
          <a:xfrm>
            <a:off x="2607310" y="1028700"/>
            <a:ext cx="1216026" cy="3378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fr-FR" sz="8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 appoint éventuel)</a:t>
            </a:r>
            <a:endParaRPr lang="fr-FR" sz="9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2" name="Rectangle 61">
            <a:extLst>
              <a:ext uri="{FF2B5EF4-FFF2-40B4-BE49-F238E27FC236}">
                <a16:creationId xmlns:a16="http://schemas.microsoft.com/office/drawing/2014/main" xmlns="" id="{00000000-0008-0000-0900-00003E000000}"/>
              </a:ext>
            </a:extLst>
          </xdr:cNvPr>
          <xdr:cNvSpPr>
            <a:spLocks noChangeArrowheads="1"/>
          </xdr:cNvSpPr>
        </xdr:nvSpPr>
        <xdr:spPr bwMode="auto">
          <a:xfrm>
            <a:off x="2672715" y="10217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3" name="Rectangle 62">
            <a:extLst>
              <a:ext uri="{FF2B5EF4-FFF2-40B4-BE49-F238E27FC236}">
                <a16:creationId xmlns:a16="http://schemas.microsoft.com/office/drawing/2014/main" xmlns="" id="{00000000-0008-0000-0900-00003F000000}"/>
              </a:ext>
            </a:extLst>
          </xdr:cNvPr>
          <xdr:cNvSpPr>
            <a:spLocks noChangeArrowheads="1"/>
          </xdr:cNvSpPr>
        </xdr:nvSpPr>
        <xdr:spPr bwMode="auto">
          <a:xfrm>
            <a:off x="3645535" y="1146175"/>
            <a:ext cx="3556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2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4" name="Freeform 861">
            <a:extLst>
              <a:ext uri="{FF2B5EF4-FFF2-40B4-BE49-F238E27FC236}">
                <a16:creationId xmlns:a16="http://schemas.microsoft.com/office/drawing/2014/main" xmlns="" id="{00000000-0008-0000-0900-000040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5" name="Freeform 862">
            <a:extLst>
              <a:ext uri="{FF2B5EF4-FFF2-40B4-BE49-F238E27FC236}">
                <a16:creationId xmlns:a16="http://schemas.microsoft.com/office/drawing/2014/main" xmlns="" id="{00000000-0008-0000-0900-000041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6" name="Rectangle 65">
            <a:extLst>
              <a:ext uri="{FF2B5EF4-FFF2-40B4-BE49-F238E27FC236}">
                <a16:creationId xmlns:a16="http://schemas.microsoft.com/office/drawing/2014/main" xmlns="" id="{00000000-0008-0000-0900-000042000000}"/>
              </a:ext>
            </a:extLst>
          </xdr:cNvPr>
          <xdr:cNvSpPr>
            <a:spLocks noChangeArrowheads="1"/>
          </xdr:cNvSpPr>
        </xdr:nvSpPr>
        <xdr:spPr bwMode="auto">
          <a:xfrm>
            <a:off x="130810" y="1827530"/>
            <a:ext cx="232410"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7" name="Freeform 864">
            <a:extLst>
              <a:ext uri="{FF2B5EF4-FFF2-40B4-BE49-F238E27FC236}">
                <a16:creationId xmlns:a16="http://schemas.microsoft.com/office/drawing/2014/main" xmlns="" id="{00000000-0008-0000-0900-000043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8" name="Freeform 865">
            <a:extLst>
              <a:ext uri="{FF2B5EF4-FFF2-40B4-BE49-F238E27FC236}">
                <a16:creationId xmlns:a16="http://schemas.microsoft.com/office/drawing/2014/main" xmlns="" id="{00000000-0008-0000-0900-000044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9" name="Rectangle 68">
            <a:extLst>
              <a:ext uri="{FF2B5EF4-FFF2-40B4-BE49-F238E27FC236}">
                <a16:creationId xmlns:a16="http://schemas.microsoft.com/office/drawing/2014/main" xmlns="" id="{00000000-0008-0000-0900-000045000000}"/>
              </a:ext>
            </a:extLst>
          </xdr:cNvPr>
          <xdr:cNvSpPr>
            <a:spLocks noChangeArrowheads="1"/>
          </xdr:cNvSpPr>
        </xdr:nvSpPr>
        <xdr:spPr bwMode="auto">
          <a:xfrm>
            <a:off x="130810" y="2136140"/>
            <a:ext cx="23749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0" name="Oval 867">
            <a:extLst>
              <a:ext uri="{FF2B5EF4-FFF2-40B4-BE49-F238E27FC236}">
                <a16:creationId xmlns:a16="http://schemas.microsoft.com/office/drawing/2014/main" xmlns="" id="{00000000-0008-0000-0900-000046000000}"/>
              </a:ext>
            </a:extLst>
          </xdr:cNvPr>
          <xdr:cNvSpPr>
            <a:spLocks noChangeArrowheads="1"/>
          </xdr:cNvSpPr>
        </xdr:nvSpPr>
        <xdr:spPr bwMode="auto">
          <a:xfrm>
            <a:off x="175260" y="24269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71" name="Freeform 868">
            <a:extLst>
              <a:ext uri="{FF2B5EF4-FFF2-40B4-BE49-F238E27FC236}">
                <a16:creationId xmlns:a16="http://schemas.microsoft.com/office/drawing/2014/main" xmlns="" id="{00000000-0008-0000-0900-000047000000}"/>
              </a:ext>
            </a:extLst>
          </xdr:cNvPr>
          <xdr:cNvSpPr>
            <a:spLocks/>
          </xdr:cNvSpPr>
        </xdr:nvSpPr>
        <xdr:spPr bwMode="auto">
          <a:xfrm>
            <a:off x="175260" y="24269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2" name="Rectangle 71">
            <a:extLst>
              <a:ext uri="{FF2B5EF4-FFF2-40B4-BE49-F238E27FC236}">
                <a16:creationId xmlns:a16="http://schemas.microsoft.com/office/drawing/2014/main" xmlns="" id="{00000000-0008-0000-0900-000048000000}"/>
              </a:ext>
            </a:extLst>
          </xdr:cNvPr>
          <xdr:cNvSpPr>
            <a:spLocks noChangeArrowheads="1"/>
          </xdr:cNvSpPr>
        </xdr:nvSpPr>
        <xdr:spPr bwMode="auto">
          <a:xfrm>
            <a:off x="220345" y="24364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3" name="Rectangle 72">
            <a:extLst>
              <a:ext uri="{FF2B5EF4-FFF2-40B4-BE49-F238E27FC236}">
                <a16:creationId xmlns:a16="http://schemas.microsoft.com/office/drawing/2014/main" xmlns="" id="{00000000-0008-0000-0900-000049000000}"/>
              </a:ext>
            </a:extLst>
          </xdr:cNvPr>
          <xdr:cNvSpPr>
            <a:spLocks noChangeArrowheads="1"/>
          </xdr:cNvSpPr>
        </xdr:nvSpPr>
        <xdr:spPr bwMode="auto">
          <a:xfrm>
            <a:off x="605155" y="18262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4" name="Rectangle 73">
            <a:extLst>
              <a:ext uri="{FF2B5EF4-FFF2-40B4-BE49-F238E27FC236}">
                <a16:creationId xmlns:a16="http://schemas.microsoft.com/office/drawing/2014/main" xmlns="" id="{00000000-0008-0000-0900-00004A000000}"/>
              </a:ext>
            </a:extLst>
          </xdr:cNvPr>
          <xdr:cNvSpPr>
            <a:spLocks noChangeArrowheads="1"/>
          </xdr:cNvSpPr>
        </xdr:nvSpPr>
        <xdr:spPr bwMode="auto">
          <a:xfrm>
            <a:off x="605155" y="18262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5" name="Rectangle 74">
            <a:extLst>
              <a:ext uri="{FF2B5EF4-FFF2-40B4-BE49-F238E27FC236}">
                <a16:creationId xmlns:a16="http://schemas.microsoft.com/office/drawing/2014/main" xmlns="" id="{00000000-0008-0000-0900-00004B000000}"/>
              </a:ext>
            </a:extLst>
          </xdr:cNvPr>
          <xdr:cNvSpPr>
            <a:spLocks noChangeArrowheads="1"/>
          </xdr:cNvSpPr>
        </xdr:nvSpPr>
        <xdr:spPr bwMode="auto">
          <a:xfrm>
            <a:off x="643890" y="18288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6" name="Rectangle 75">
            <a:extLst>
              <a:ext uri="{FF2B5EF4-FFF2-40B4-BE49-F238E27FC236}">
                <a16:creationId xmlns:a16="http://schemas.microsoft.com/office/drawing/2014/main" xmlns="" id="{00000000-0008-0000-0900-00004C000000}"/>
              </a:ext>
            </a:extLst>
          </xdr:cNvPr>
          <xdr:cNvSpPr>
            <a:spLocks noChangeArrowheads="1"/>
          </xdr:cNvSpPr>
        </xdr:nvSpPr>
        <xdr:spPr bwMode="auto">
          <a:xfrm>
            <a:off x="617220" y="24390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7" name="Rectangle 76">
            <a:extLst>
              <a:ext uri="{FF2B5EF4-FFF2-40B4-BE49-F238E27FC236}">
                <a16:creationId xmlns:a16="http://schemas.microsoft.com/office/drawing/2014/main" xmlns="" id="{00000000-0008-0000-0900-00004D000000}"/>
              </a:ext>
            </a:extLst>
          </xdr:cNvPr>
          <xdr:cNvSpPr>
            <a:spLocks noChangeArrowheads="1"/>
          </xdr:cNvSpPr>
        </xdr:nvSpPr>
        <xdr:spPr bwMode="auto">
          <a:xfrm>
            <a:off x="617220" y="24390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8" name="Rectangle 77">
            <a:extLst>
              <a:ext uri="{FF2B5EF4-FFF2-40B4-BE49-F238E27FC236}">
                <a16:creationId xmlns:a16="http://schemas.microsoft.com/office/drawing/2014/main" xmlns="" id="{00000000-0008-0000-0900-00004E000000}"/>
              </a:ext>
            </a:extLst>
          </xdr:cNvPr>
          <xdr:cNvSpPr>
            <a:spLocks noChangeArrowheads="1"/>
          </xdr:cNvSpPr>
        </xdr:nvSpPr>
        <xdr:spPr bwMode="auto">
          <a:xfrm>
            <a:off x="652780" y="24669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9" name="Rectangle 78">
            <a:extLst>
              <a:ext uri="{FF2B5EF4-FFF2-40B4-BE49-F238E27FC236}">
                <a16:creationId xmlns:a16="http://schemas.microsoft.com/office/drawing/2014/main" xmlns="" id="{00000000-0008-0000-0900-00004F000000}"/>
              </a:ext>
            </a:extLst>
          </xdr:cNvPr>
          <xdr:cNvSpPr>
            <a:spLocks noChangeArrowheads="1"/>
          </xdr:cNvSpPr>
        </xdr:nvSpPr>
        <xdr:spPr bwMode="auto">
          <a:xfrm>
            <a:off x="610235" y="21329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80" name="Rectangle 79">
            <a:extLst>
              <a:ext uri="{FF2B5EF4-FFF2-40B4-BE49-F238E27FC236}">
                <a16:creationId xmlns:a16="http://schemas.microsoft.com/office/drawing/2014/main" xmlns="" id="{00000000-0008-0000-0900-000050000000}"/>
              </a:ext>
            </a:extLst>
          </xdr:cNvPr>
          <xdr:cNvSpPr>
            <a:spLocks noChangeArrowheads="1"/>
          </xdr:cNvSpPr>
        </xdr:nvSpPr>
        <xdr:spPr bwMode="auto">
          <a:xfrm>
            <a:off x="610235" y="21329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1" name="Rectangle 80">
            <a:extLst>
              <a:ext uri="{FF2B5EF4-FFF2-40B4-BE49-F238E27FC236}">
                <a16:creationId xmlns:a16="http://schemas.microsoft.com/office/drawing/2014/main" xmlns="" id="{00000000-0008-0000-0900-000051000000}"/>
              </a:ext>
            </a:extLst>
          </xdr:cNvPr>
          <xdr:cNvSpPr>
            <a:spLocks noChangeArrowheads="1"/>
          </xdr:cNvSpPr>
        </xdr:nvSpPr>
        <xdr:spPr bwMode="auto">
          <a:xfrm>
            <a:off x="652780" y="2171700"/>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82" name="Freeform 879">
            <a:extLst>
              <a:ext uri="{FF2B5EF4-FFF2-40B4-BE49-F238E27FC236}">
                <a16:creationId xmlns:a16="http://schemas.microsoft.com/office/drawing/2014/main" xmlns="" id="{00000000-0008-0000-0900-000052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3" name="Freeform 880">
            <a:extLst>
              <a:ext uri="{FF2B5EF4-FFF2-40B4-BE49-F238E27FC236}">
                <a16:creationId xmlns:a16="http://schemas.microsoft.com/office/drawing/2014/main" xmlns="" id="{00000000-0008-0000-0900-000053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4" name="Rectangle 83">
            <a:extLst>
              <a:ext uri="{FF2B5EF4-FFF2-40B4-BE49-F238E27FC236}">
                <a16:creationId xmlns:a16="http://schemas.microsoft.com/office/drawing/2014/main" xmlns="" id="{00000000-0008-0000-0900-000054000000}"/>
              </a:ext>
            </a:extLst>
          </xdr:cNvPr>
          <xdr:cNvSpPr>
            <a:spLocks noChangeArrowheads="1"/>
          </xdr:cNvSpPr>
        </xdr:nvSpPr>
        <xdr:spPr bwMode="auto">
          <a:xfrm>
            <a:off x="2715895" y="1852295"/>
            <a:ext cx="34734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5" name="Line 882">
            <a:extLst>
              <a:ext uri="{FF2B5EF4-FFF2-40B4-BE49-F238E27FC236}">
                <a16:creationId xmlns:a16="http://schemas.microsoft.com/office/drawing/2014/main" xmlns="" id="{00000000-0008-0000-0900-000055000000}"/>
              </a:ext>
            </a:extLst>
          </xdr:cNvPr>
          <xdr:cNvCxnSpPr/>
        </xdr:nvCxnSpPr>
        <xdr:spPr bwMode="auto">
          <a:xfrm flipV="1">
            <a:off x="2831465" y="1673225"/>
            <a:ext cx="635"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86" name="Freeform 883">
            <a:extLst>
              <a:ext uri="{FF2B5EF4-FFF2-40B4-BE49-F238E27FC236}">
                <a16:creationId xmlns:a16="http://schemas.microsoft.com/office/drawing/2014/main" xmlns="" id="{00000000-0008-0000-0900-000056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7" name="Freeform 884">
            <a:extLst>
              <a:ext uri="{FF2B5EF4-FFF2-40B4-BE49-F238E27FC236}">
                <a16:creationId xmlns:a16="http://schemas.microsoft.com/office/drawing/2014/main" xmlns="" id="{00000000-0008-0000-0900-000057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8" name="Rectangle 87">
            <a:extLst>
              <a:ext uri="{FF2B5EF4-FFF2-40B4-BE49-F238E27FC236}">
                <a16:creationId xmlns:a16="http://schemas.microsoft.com/office/drawing/2014/main" xmlns="" id="{00000000-0008-0000-0900-000058000000}"/>
              </a:ext>
            </a:extLst>
          </xdr:cNvPr>
          <xdr:cNvSpPr>
            <a:spLocks noChangeArrowheads="1"/>
          </xdr:cNvSpPr>
        </xdr:nvSpPr>
        <xdr:spPr bwMode="auto">
          <a:xfrm>
            <a:off x="3466464" y="1852294"/>
            <a:ext cx="396875" cy="18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9" name="Line 886">
            <a:extLst>
              <a:ext uri="{FF2B5EF4-FFF2-40B4-BE49-F238E27FC236}">
                <a16:creationId xmlns:a16="http://schemas.microsoft.com/office/drawing/2014/main" xmlns="" id="{00000000-0008-0000-0900-000059000000}"/>
              </a:ext>
            </a:extLst>
          </xdr:cNvPr>
          <xdr:cNvCxnSpPr/>
        </xdr:nvCxnSpPr>
        <xdr:spPr bwMode="auto">
          <a:xfrm flipV="1">
            <a:off x="3586480" y="1673225"/>
            <a:ext cx="1270"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90" name="Rectangle 89">
            <a:extLst>
              <a:ext uri="{FF2B5EF4-FFF2-40B4-BE49-F238E27FC236}">
                <a16:creationId xmlns:a16="http://schemas.microsoft.com/office/drawing/2014/main" xmlns="" id="{00000000-0008-0000-0900-00005A000000}"/>
              </a:ext>
            </a:extLst>
          </xdr:cNvPr>
          <xdr:cNvSpPr>
            <a:spLocks noChangeArrowheads="1"/>
          </xdr:cNvSpPr>
        </xdr:nvSpPr>
        <xdr:spPr bwMode="auto">
          <a:xfrm>
            <a:off x="2677795" y="20567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1" name="Rectangle 90">
            <a:extLst>
              <a:ext uri="{FF2B5EF4-FFF2-40B4-BE49-F238E27FC236}">
                <a16:creationId xmlns:a16="http://schemas.microsoft.com/office/drawing/2014/main" xmlns="" id="{00000000-0008-0000-0900-00005B000000}"/>
              </a:ext>
            </a:extLst>
          </xdr:cNvPr>
          <xdr:cNvSpPr>
            <a:spLocks noChangeArrowheads="1"/>
          </xdr:cNvSpPr>
        </xdr:nvSpPr>
        <xdr:spPr bwMode="auto">
          <a:xfrm>
            <a:off x="2677795" y="20567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2" name="Rectangle 91">
            <a:extLst>
              <a:ext uri="{FF2B5EF4-FFF2-40B4-BE49-F238E27FC236}">
                <a16:creationId xmlns:a16="http://schemas.microsoft.com/office/drawing/2014/main" xmlns="" id="{00000000-0008-0000-0900-00005C000000}"/>
              </a:ext>
            </a:extLst>
          </xdr:cNvPr>
          <xdr:cNvSpPr>
            <a:spLocks noChangeArrowheads="1"/>
          </xdr:cNvSpPr>
        </xdr:nvSpPr>
        <xdr:spPr bwMode="auto">
          <a:xfrm>
            <a:off x="2715895" y="20713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93" name="Rectangle 92">
            <a:extLst>
              <a:ext uri="{FF2B5EF4-FFF2-40B4-BE49-F238E27FC236}">
                <a16:creationId xmlns:a16="http://schemas.microsoft.com/office/drawing/2014/main" xmlns="" id="{00000000-0008-0000-0900-00005D000000}"/>
              </a:ext>
            </a:extLst>
          </xdr:cNvPr>
          <xdr:cNvSpPr>
            <a:spLocks noChangeArrowheads="1"/>
          </xdr:cNvSpPr>
        </xdr:nvSpPr>
        <xdr:spPr bwMode="auto">
          <a:xfrm>
            <a:off x="3364230" y="20567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4" name="Rectangle 93">
            <a:extLst>
              <a:ext uri="{FF2B5EF4-FFF2-40B4-BE49-F238E27FC236}">
                <a16:creationId xmlns:a16="http://schemas.microsoft.com/office/drawing/2014/main" xmlns="" id="{00000000-0008-0000-0900-00005E000000}"/>
              </a:ext>
            </a:extLst>
          </xdr:cNvPr>
          <xdr:cNvSpPr>
            <a:spLocks noChangeArrowheads="1"/>
          </xdr:cNvSpPr>
        </xdr:nvSpPr>
        <xdr:spPr bwMode="auto">
          <a:xfrm>
            <a:off x="3364230" y="20574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5" name="Rectangle 94">
            <a:extLst>
              <a:ext uri="{FF2B5EF4-FFF2-40B4-BE49-F238E27FC236}">
                <a16:creationId xmlns:a16="http://schemas.microsoft.com/office/drawing/2014/main" xmlns="" id="{00000000-0008-0000-0900-00005F000000}"/>
              </a:ext>
            </a:extLst>
          </xdr:cNvPr>
          <xdr:cNvSpPr>
            <a:spLocks noChangeArrowheads="1"/>
          </xdr:cNvSpPr>
        </xdr:nvSpPr>
        <xdr:spPr bwMode="auto">
          <a:xfrm>
            <a:off x="3409950" y="20713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96" name="Line 893">
            <a:extLst>
              <a:ext uri="{FF2B5EF4-FFF2-40B4-BE49-F238E27FC236}">
                <a16:creationId xmlns:a16="http://schemas.microsoft.com/office/drawing/2014/main" xmlns="" id="{00000000-0008-0000-0900-000060000000}"/>
              </a:ext>
            </a:extLst>
          </xdr:cNvPr>
          <xdr:cNvCxnSpPr/>
        </xdr:nvCxnSpPr>
        <xdr:spPr bwMode="auto">
          <a:xfrm>
            <a:off x="4721860" y="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15</xdr:col>
      <xdr:colOff>0</xdr:colOff>
      <xdr:row>145</xdr:row>
      <xdr:rowOff>0</xdr:rowOff>
    </xdr:from>
    <xdr:to>
      <xdr:col>28</xdr:col>
      <xdr:colOff>695325</xdr:colOff>
      <xdr:row>172</xdr:row>
      <xdr:rowOff>9525</xdr:rowOff>
    </xdr:to>
    <xdr:grpSp>
      <xdr:nvGrpSpPr>
        <xdr:cNvPr id="97" name="Zone de dessin 894">
          <a:extLst>
            <a:ext uri="{FF2B5EF4-FFF2-40B4-BE49-F238E27FC236}">
              <a16:creationId xmlns:a16="http://schemas.microsoft.com/office/drawing/2014/main" xmlns="" id="{00000000-0008-0000-0900-000061000000}"/>
            </a:ext>
          </a:extLst>
        </xdr:cNvPr>
        <xdr:cNvGrpSpPr/>
      </xdr:nvGrpSpPr>
      <xdr:grpSpPr>
        <a:xfrm>
          <a:off x="12909176" y="25874382"/>
          <a:ext cx="11800355" cy="3651437"/>
          <a:chOff x="0" y="0"/>
          <a:chExt cx="6479540" cy="3268345"/>
        </a:xfrm>
      </xdr:grpSpPr>
      <xdr:sp macro="" textlink="">
        <xdr:nvSpPr>
          <xdr:cNvPr id="98" name="Rectangle 97">
            <a:extLst>
              <a:ext uri="{FF2B5EF4-FFF2-40B4-BE49-F238E27FC236}">
                <a16:creationId xmlns:a16="http://schemas.microsoft.com/office/drawing/2014/main" xmlns="" id="{00000000-0008-0000-0900-000062000000}"/>
              </a:ext>
            </a:extLst>
          </xdr:cNvPr>
          <xdr:cNvSpPr/>
        </xdr:nvSpPr>
        <xdr:spPr>
          <a:xfrm>
            <a:off x="0" y="0"/>
            <a:ext cx="6479540" cy="3268345"/>
          </a:xfrm>
          <a:prstGeom prst="rect">
            <a:avLst/>
          </a:prstGeom>
          <a:noFill/>
          <a:ln>
            <a:noFill/>
          </a:ln>
        </xdr:spPr>
      </xdr:sp>
      <xdr:sp macro="" textlink="">
        <xdr:nvSpPr>
          <xdr:cNvPr id="99" name="AutoShape 896">
            <a:extLst>
              <a:ext uri="{FF2B5EF4-FFF2-40B4-BE49-F238E27FC236}">
                <a16:creationId xmlns:a16="http://schemas.microsoft.com/office/drawing/2014/main" xmlns="" id="{00000000-0008-0000-0900-000063000000}"/>
              </a:ext>
            </a:extLst>
          </xdr:cNvPr>
          <xdr:cNvSpPr>
            <a:spLocks noChangeAspect="1" noChangeArrowheads="1"/>
          </xdr:cNvSpPr>
        </xdr:nvSpPr>
        <xdr:spPr bwMode="auto">
          <a:xfrm>
            <a:off x="0" y="31877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00" name="Rectangle 99">
            <a:extLst>
              <a:ext uri="{FF2B5EF4-FFF2-40B4-BE49-F238E27FC236}">
                <a16:creationId xmlns:a16="http://schemas.microsoft.com/office/drawing/2014/main" xmlns="" id="{00000000-0008-0000-0900-000064000000}"/>
              </a:ext>
            </a:extLst>
          </xdr:cNvPr>
          <xdr:cNvSpPr>
            <a:spLocks noChangeArrowheads="1"/>
          </xdr:cNvSpPr>
        </xdr:nvSpPr>
        <xdr:spPr bwMode="auto">
          <a:xfrm>
            <a:off x="2595245" y="33401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01" name="Rectangle 100">
            <a:extLst>
              <a:ext uri="{FF2B5EF4-FFF2-40B4-BE49-F238E27FC236}">
                <a16:creationId xmlns:a16="http://schemas.microsoft.com/office/drawing/2014/main" xmlns="" id="{00000000-0008-0000-0900-000065000000}"/>
              </a:ext>
            </a:extLst>
          </xdr:cNvPr>
          <xdr:cNvSpPr>
            <a:spLocks noChangeArrowheads="1"/>
          </xdr:cNvSpPr>
        </xdr:nvSpPr>
        <xdr:spPr bwMode="auto">
          <a:xfrm>
            <a:off x="2595245" y="33401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02" name="Rectangle 101">
            <a:extLst>
              <a:ext uri="{FF2B5EF4-FFF2-40B4-BE49-F238E27FC236}">
                <a16:creationId xmlns:a16="http://schemas.microsoft.com/office/drawing/2014/main" xmlns="" id="{00000000-0008-0000-0900-000066000000}"/>
              </a:ext>
            </a:extLst>
          </xdr:cNvPr>
          <xdr:cNvSpPr>
            <a:spLocks noChangeArrowheads="1"/>
          </xdr:cNvSpPr>
        </xdr:nvSpPr>
        <xdr:spPr bwMode="auto">
          <a:xfrm>
            <a:off x="2936240" y="1143000"/>
            <a:ext cx="721360"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03" name="Line 900">
            <a:extLst>
              <a:ext uri="{FF2B5EF4-FFF2-40B4-BE49-F238E27FC236}">
                <a16:creationId xmlns:a16="http://schemas.microsoft.com/office/drawing/2014/main" xmlns="" id="{00000000-0008-0000-0900-000067000000}"/>
              </a:ext>
            </a:extLst>
          </xdr:cNvPr>
          <xdr:cNvCxnSpPr/>
        </xdr:nvCxnSpPr>
        <xdr:spPr bwMode="auto">
          <a:xfrm>
            <a:off x="3829050" y="48704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4" name="Line 901">
            <a:extLst>
              <a:ext uri="{FF2B5EF4-FFF2-40B4-BE49-F238E27FC236}">
                <a16:creationId xmlns:a16="http://schemas.microsoft.com/office/drawing/2014/main" xmlns="" id="{00000000-0008-0000-0900-000068000000}"/>
              </a:ext>
            </a:extLst>
          </xdr:cNvPr>
          <xdr:cNvCxnSpPr/>
        </xdr:nvCxnSpPr>
        <xdr:spPr bwMode="auto">
          <a:xfrm flipH="1">
            <a:off x="3909060" y="125730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5" name="Freeform 902">
            <a:extLst>
              <a:ext uri="{FF2B5EF4-FFF2-40B4-BE49-F238E27FC236}">
                <a16:creationId xmlns:a16="http://schemas.microsoft.com/office/drawing/2014/main" xmlns="" id="{00000000-0008-0000-0900-000069000000}"/>
              </a:ext>
            </a:extLst>
          </xdr:cNvPr>
          <xdr:cNvSpPr>
            <a:spLocks/>
          </xdr:cNvSpPr>
        </xdr:nvSpPr>
        <xdr:spPr bwMode="auto">
          <a:xfrm>
            <a:off x="3829050" y="121158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6" name="Line 903">
            <a:extLst>
              <a:ext uri="{FF2B5EF4-FFF2-40B4-BE49-F238E27FC236}">
                <a16:creationId xmlns:a16="http://schemas.microsoft.com/office/drawing/2014/main" xmlns="" id="{00000000-0008-0000-0900-00006A000000}"/>
              </a:ext>
            </a:extLst>
          </xdr:cNvPr>
          <xdr:cNvCxnSpPr/>
        </xdr:nvCxnSpPr>
        <xdr:spPr bwMode="auto">
          <a:xfrm flipH="1">
            <a:off x="3909060" y="248793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7" name="Freeform 904">
            <a:extLst>
              <a:ext uri="{FF2B5EF4-FFF2-40B4-BE49-F238E27FC236}">
                <a16:creationId xmlns:a16="http://schemas.microsoft.com/office/drawing/2014/main" xmlns="" id="{00000000-0008-0000-0900-00006B000000}"/>
              </a:ext>
            </a:extLst>
          </xdr:cNvPr>
          <xdr:cNvSpPr>
            <a:spLocks/>
          </xdr:cNvSpPr>
        </xdr:nvSpPr>
        <xdr:spPr bwMode="auto">
          <a:xfrm>
            <a:off x="3829050" y="244157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8" name="Line 905">
            <a:extLst>
              <a:ext uri="{FF2B5EF4-FFF2-40B4-BE49-F238E27FC236}">
                <a16:creationId xmlns:a16="http://schemas.microsoft.com/office/drawing/2014/main" xmlns="" id="{00000000-0008-0000-0900-00006C000000}"/>
              </a:ext>
            </a:extLst>
          </xdr:cNvPr>
          <xdr:cNvCxnSpPr/>
        </xdr:nvCxnSpPr>
        <xdr:spPr bwMode="auto">
          <a:xfrm>
            <a:off x="3829050" y="171894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9" name="Line 906">
            <a:extLst>
              <a:ext uri="{FF2B5EF4-FFF2-40B4-BE49-F238E27FC236}">
                <a16:creationId xmlns:a16="http://schemas.microsoft.com/office/drawing/2014/main" xmlns="" id="{00000000-0008-0000-0900-00006D000000}"/>
              </a:ext>
            </a:extLst>
          </xdr:cNvPr>
          <xdr:cNvCxnSpPr/>
        </xdr:nvCxnSpPr>
        <xdr:spPr bwMode="auto">
          <a:xfrm flipH="1">
            <a:off x="1094105" y="110299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10" name="Oval 907">
            <a:extLst>
              <a:ext uri="{FF2B5EF4-FFF2-40B4-BE49-F238E27FC236}">
                <a16:creationId xmlns:a16="http://schemas.microsoft.com/office/drawing/2014/main" xmlns="" id="{00000000-0008-0000-0900-00006E000000}"/>
              </a:ext>
            </a:extLst>
          </xdr:cNvPr>
          <xdr:cNvSpPr>
            <a:spLocks noChangeArrowheads="1"/>
          </xdr:cNvSpPr>
        </xdr:nvSpPr>
        <xdr:spPr bwMode="auto">
          <a:xfrm>
            <a:off x="4895215" y="34671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11" name="Oval 908">
            <a:extLst>
              <a:ext uri="{FF2B5EF4-FFF2-40B4-BE49-F238E27FC236}">
                <a16:creationId xmlns:a16="http://schemas.microsoft.com/office/drawing/2014/main" xmlns="" id="{00000000-0008-0000-0900-00006F000000}"/>
              </a:ext>
            </a:extLst>
          </xdr:cNvPr>
          <xdr:cNvSpPr>
            <a:spLocks noChangeArrowheads="1"/>
          </xdr:cNvSpPr>
        </xdr:nvSpPr>
        <xdr:spPr bwMode="auto">
          <a:xfrm>
            <a:off x="4895215" y="34671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2" name="Rectangle 111">
            <a:extLst>
              <a:ext uri="{FF2B5EF4-FFF2-40B4-BE49-F238E27FC236}">
                <a16:creationId xmlns:a16="http://schemas.microsoft.com/office/drawing/2014/main" xmlns="" id="{00000000-0008-0000-0900-000070000000}"/>
              </a:ext>
            </a:extLst>
          </xdr:cNvPr>
          <xdr:cNvSpPr>
            <a:spLocks noChangeArrowheads="1"/>
          </xdr:cNvSpPr>
        </xdr:nvSpPr>
        <xdr:spPr bwMode="auto">
          <a:xfrm>
            <a:off x="4984750" y="38862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3" name="Rectangle 112">
            <a:extLst>
              <a:ext uri="{FF2B5EF4-FFF2-40B4-BE49-F238E27FC236}">
                <a16:creationId xmlns:a16="http://schemas.microsoft.com/office/drawing/2014/main" xmlns="" id="{00000000-0008-0000-0900-000071000000}"/>
              </a:ext>
            </a:extLst>
          </xdr:cNvPr>
          <xdr:cNvSpPr>
            <a:spLocks noChangeArrowheads="1"/>
          </xdr:cNvSpPr>
        </xdr:nvSpPr>
        <xdr:spPr bwMode="auto">
          <a:xfrm>
            <a:off x="15240" y="94869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4" name="Rectangle 113">
            <a:extLst>
              <a:ext uri="{FF2B5EF4-FFF2-40B4-BE49-F238E27FC236}">
                <a16:creationId xmlns:a16="http://schemas.microsoft.com/office/drawing/2014/main" xmlns="" id="{00000000-0008-0000-0900-000072000000}"/>
              </a:ext>
            </a:extLst>
          </xdr:cNvPr>
          <xdr:cNvSpPr>
            <a:spLocks noChangeArrowheads="1"/>
          </xdr:cNvSpPr>
        </xdr:nvSpPr>
        <xdr:spPr bwMode="auto">
          <a:xfrm>
            <a:off x="15240" y="94869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5" name="Rectangle 114">
            <a:extLst>
              <a:ext uri="{FF2B5EF4-FFF2-40B4-BE49-F238E27FC236}">
                <a16:creationId xmlns:a16="http://schemas.microsoft.com/office/drawing/2014/main" xmlns="" id="{00000000-0008-0000-0900-000073000000}"/>
              </a:ext>
            </a:extLst>
          </xdr:cNvPr>
          <xdr:cNvSpPr>
            <a:spLocks noChangeArrowheads="1"/>
          </xdr:cNvSpPr>
        </xdr:nvSpPr>
        <xdr:spPr bwMode="auto">
          <a:xfrm>
            <a:off x="187960" y="132969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6" name="Rectangle 115">
            <a:extLst>
              <a:ext uri="{FF2B5EF4-FFF2-40B4-BE49-F238E27FC236}">
                <a16:creationId xmlns:a16="http://schemas.microsoft.com/office/drawing/2014/main" xmlns="" id="{00000000-0008-0000-0900-000074000000}"/>
              </a:ext>
            </a:extLst>
          </xdr:cNvPr>
          <xdr:cNvSpPr>
            <a:spLocks noChangeArrowheads="1"/>
          </xdr:cNvSpPr>
        </xdr:nvSpPr>
        <xdr:spPr bwMode="auto">
          <a:xfrm>
            <a:off x="5386070" y="33401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7" name="Rectangle 116">
            <a:extLst>
              <a:ext uri="{FF2B5EF4-FFF2-40B4-BE49-F238E27FC236}">
                <a16:creationId xmlns:a16="http://schemas.microsoft.com/office/drawing/2014/main" xmlns="" id="{00000000-0008-0000-0900-000075000000}"/>
              </a:ext>
            </a:extLst>
          </xdr:cNvPr>
          <xdr:cNvSpPr>
            <a:spLocks noChangeArrowheads="1"/>
          </xdr:cNvSpPr>
        </xdr:nvSpPr>
        <xdr:spPr bwMode="auto">
          <a:xfrm>
            <a:off x="5386070" y="33401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8" name="Rectangle 117">
            <a:extLst>
              <a:ext uri="{FF2B5EF4-FFF2-40B4-BE49-F238E27FC236}">
                <a16:creationId xmlns:a16="http://schemas.microsoft.com/office/drawing/2014/main" xmlns="" id="{00000000-0008-0000-0900-000076000000}"/>
              </a:ext>
            </a:extLst>
          </xdr:cNvPr>
          <xdr:cNvSpPr>
            <a:spLocks noChangeArrowheads="1"/>
          </xdr:cNvSpPr>
        </xdr:nvSpPr>
        <xdr:spPr bwMode="auto">
          <a:xfrm>
            <a:off x="5768340" y="77406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9" name="Rectangle 118">
            <a:extLst>
              <a:ext uri="{FF2B5EF4-FFF2-40B4-BE49-F238E27FC236}">
                <a16:creationId xmlns:a16="http://schemas.microsoft.com/office/drawing/2014/main" xmlns="" id="{00000000-0008-0000-0900-000077000000}"/>
              </a:ext>
            </a:extLst>
          </xdr:cNvPr>
          <xdr:cNvSpPr>
            <a:spLocks noChangeArrowheads="1"/>
          </xdr:cNvSpPr>
        </xdr:nvSpPr>
        <xdr:spPr bwMode="auto">
          <a:xfrm>
            <a:off x="5386070" y="156464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20" name="Rectangle 119">
            <a:extLst>
              <a:ext uri="{FF2B5EF4-FFF2-40B4-BE49-F238E27FC236}">
                <a16:creationId xmlns:a16="http://schemas.microsoft.com/office/drawing/2014/main" xmlns="" id="{00000000-0008-0000-0900-000078000000}"/>
              </a:ext>
            </a:extLst>
          </xdr:cNvPr>
          <xdr:cNvSpPr>
            <a:spLocks noChangeArrowheads="1"/>
          </xdr:cNvSpPr>
        </xdr:nvSpPr>
        <xdr:spPr bwMode="auto">
          <a:xfrm>
            <a:off x="5386070" y="156464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1" name="Rectangle 120">
            <a:extLst>
              <a:ext uri="{FF2B5EF4-FFF2-40B4-BE49-F238E27FC236}">
                <a16:creationId xmlns:a16="http://schemas.microsoft.com/office/drawing/2014/main" xmlns="" id="{00000000-0008-0000-0900-000079000000}"/>
              </a:ext>
            </a:extLst>
          </xdr:cNvPr>
          <xdr:cNvSpPr>
            <a:spLocks noChangeArrowheads="1"/>
          </xdr:cNvSpPr>
        </xdr:nvSpPr>
        <xdr:spPr bwMode="auto">
          <a:xfrm>
            <a:off x="5438775" y="200279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22" name="Line 919">
            <a:extLst>
              <a:ext uri="{FF2B5EF4-FFF2-40B4-BE49-F238E27FC236}">
                <a16:creationId xmlns:a16="http://schemas.microsoft.com/office/drawing/2014/main" xmlns="" id="{00000000-0008-0000-0900-00007A000000}"/>
              </a:ext>
            </a:extLst>
          </xdr:cNvPr>
          <xdr:cNvCxnSpPr/>
        </xdr:nvCxnSpPr>
        <xdr:spPr bwMode="auto">
          <a:xfrm>
            <a:off x="1094105" y="187198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23" name="Freeform 920">
            <a:extLst>
              <a:ext uri="{FF2B5EF4-FFF2-40B4-BE49-F238E27FC236}">
                <a16:creationId xmlns:a16="http://schemas.microsoft.com/office/drawing/2014/main" xmlns="" id="{00000000-0008-0000-0900-00007B000000}"/>
              </a:ext>
            </a:extLst>
          </xdr:cNvPr>
          <xdr:cNvSpPr>
            <a:spLocks/>
          </xdr:cNvSpPr>
        </xdr:nvSpPr>
        <xdr:spPr bwMode="auto">
          <a:xfrm>
            <a:off x="2503805" y="182753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24" name="Oval 921">
            <a:extLst>
              <a:ext uri="{FF2B5EF4-FFF2-40B4-BE49-F238E27FC236}">
                <a16:creationId xmlns:a16="http://schemas.microsoft.com/office/drawing/2014/main" xmlns="" id="{00000000-0008-0000-0900-00007C000000}"/>
              </a:ext>
            </a:extLst>
          </xdr:cNvPr>
          <xdr:cNvSpPr>
            <a:spLocks noChangeArrowheads="1"/>
          </xdr:cNvSpPr>
        </xdr:nvSpPr>
        <xdr:spPr bwMode="auto">
          <a:xfrm>
            <a:off x="2009775" y="96393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5" name="Oval 922">
            <a:extLst>
              <a:ext uri="{FF2B5EF4-FFF2-40B4-BE49-F238E27FC236}">
                <a16:creationId xmlns:a16="http://schemas.microsoft.com/office/drawing/2014/main" xmlns="" id="{00000000-0008-0000-0900-00007D000000}"/>
              </a:ext>
            </a:extLst>
          </xdr:cNvPr>
          <xdr:cNvSpPr>
            <a:spLocks noChangeArrowheads="1"/>
          </xdr:cNvSpPr>
        </xdr:nvSpPr>
        <xdr:spPr bwMode="auto">
          <a:xfrm>
            <a:off x="2009775" y="96393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6" name="Rectangle 125">
            <a:extLst>
              <a:ext uri="{FF2B5EF4-FFF2-40B4-BE49-F238E27FC236}">
                <a16:creationId xmlns:a16="http://schemas.microsoft.com/office/drawing/2014/main" xmlns="" id="{00000000-0008-0000-0900-00007E000000}"/>
              </a:ext>
            </a:extLst>
          </xdr:cNvPr>
          <xdr:cNvSpPr>
            <a:spLocks noChangeArrowheads="1"/>
          </xdr:cNvSpPr>
        </xdr:nvSpPr>
        <xdr:spPr bwMode="auto">
          <a:xfrm>
            <a:off x="2096770" y="101028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27" name="Oval 924">
            <a:extLst>
              <a:ext uri="{FF2B5EF4-FFF2-40B4-BE49-F238E27FC236}">
                <a16:creationId xmlns:a16="http://schemas.microsoft.com/office/drawing/2014/main" xmlns="" id="{00000000-0008-0000-0900-00007F000000}"/>
              </a:ext>
            </a:extLst>
          </xdr:cNvPr>
          <xdr:cNvSpPr>
            <a:spLocks noChangeArrowheads="1"/>
          </xdr:cNvSpPr>
        </xdr:nvSpPr>
        <xdr:spPr bwMode="auto">
          <a:xfrm>
            <a:off x="4895215" y="157734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8" name="Oval 925">
            <a:extLst>
              <a:ext uri="{FF2B5EF4-FFF2-40B4-BE49-F238E27FC236}">
                <a16:creationId xmlns:a16="http://schemas.microsoft.com/office/drawing/2014/main" xmlns="" id="{00000000-0008-0000-0900-000080000000}"/>
              </a:ext>
            </a:extLst>
          </xdr:cNvPr>
          <xdr:cNvSpPr>
            <a:spLocks noChangeArrowheads="1"/>
          </xdr:cNvSpPr>
        </xdr:nvSpPr>
        <xdr:spPr bwMode="auto">
          <a:xfrm>
            <a:off x="4907915" y="157734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9" name="Rectangle 128">
            <a:extLst>
              <a:ext uri="{FF2B5EF4-FFF2-40B4-BE49-F238E27FC236}">
                <a16:creationId xmlns:a16="http://schemas.microsoft.com/office/drawing/2014/main" xmlns="" id="{00000000-0008-0000-0900-000081000000}"/>
              </a:ext>
            </a:extLst>
          </xdr:cNvPr>
          <xdr:cNvSpPr>
            <a:spLocks noChangeArrowheads="1"/>
          </xdr:cNvSpPr>
        </xdr:nvSpPr>
        <xdr:spPr bwMode="auto">
          <a:xfrm>
            <a:off x="4984750" y="161798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0" name="Freeform 928">
            <a:extLst>
              <a:ext uri="{FF2B5EF4-FFF2-40B4-BE49-F238E27FC236}">
                <a16:creationId xmlns:a16="http://schemas.microsoft.com/office/drawing/2014/main" xmlns="" id="{00000000-0008-0000-0900-000082000000}"/>
              </a:ext>
            </a:extLst>
          </xdr:cNvPr>
          <xdr:cNvSpPr>
            <a:spLocks/>
          </xdr:cNvSpPr>
        </xdr:nvSpPr>
        <xdr:spPr bwMode="auto">
          <a:xfrm>
            <a:off x="1178560" y="1398905"/>
            <a:ext cx="553720" cy="21907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1" name="Rectangle 130">
            <a:extLst>
              <a:ext uri="{FF2B5EF4-FFF2-40B4-BE49-F238E27FC236}">
                <a16:creationId xmlns:a16="http://schemas.microsoft.com/office/drawing/2014/main" xmlns="" id="{00000000-0008-0000-0900-000083000000}"/>
              </a:ext>
            </a:extLst>
          </xdr:cNvPr>
          <xdr:cNvSpPr>
            <a:spLocks noChangeArrowheads="1"/>
          </xdr:cNvSpPr>
        </xdr:nvSpPr>
        <xdr:spPr bwMode="auto">
          <a:xfrm>
            <a:off x="1280795" y="1425574"/>
            <a:ext cx="365125"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2" name="Freeform 930">
            <a:extLst>
              <a:ext uri="{FF2B5EF4-FFF2-40B4-BE49-F238E27FC236}">
                <a16:creationId xmlns:a16="http://schemas.microsoft.com/office/drawing/2014/main" xmlns="" id="{00000000-0008-0000-0900-000084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3" name="Freeform 931">
            <a:extLst>
              <a:ext uri="{FF2B5EF4-FFF2-40B4-BE49-F238E27FC236}">
                <a16:creationId xmlns:a16="http://schemas.microsoft.com/office/drawing/2014/main" xmlns="" id="{00000000-0008-0000-0900-000085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4" name="Rectangle 133">
            <a:extLst>
              <a:ext uri="{FF2B5EF4-FFF2-40B4-BE49-F238E27FC236}">
                <a16:creationId xmlns:a16="http://schemas.microsoft.com/office/drawing/2014/main" xmlns="" id="{00000000-0008-0000-0900-000086000000}"/>
              </a:ext>
            </a:extLst>
          </xdr:cNvPr>
          <xdr:cNvSpPr>
            <a:spLocks noChangeArrowheads="1"/>
          </xdr:cNvSpPr>
        </xdr:nvSpPr>
        <xdr:spPr bwMode="auto">
          <a:xfrm>
            <a:off x="4182745" y="2036445"/>
            <a:ext cx="340995" cy="120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5" name="Freeform 933">
            <a:extLst>
              <a:ext uri="{FF2B5EF4-FFF2-40B4-BE49-F238E27FC236}">
                <a16:creationId xmlns:a16="http://schemas.microsoft.com/office/drawing/2014/main" xmlns="" id="{00000000-0008-0000-0900-000087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6" name="Freeform 934">
            <a:extLst>
              <a:ext uri="{FF2B5EF4-FFF2-40B4-BE49-F238E27FC236}">
                <a16:creationId xmlns:a16="http://schemas.microsoft.com/office/drawing/2014/main" xmlns="" id="{00000000-0008-0000-0900-000088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7" name="Rectangle 136">
            <a:extLst>
              <a:ext uri="{FF2B5EF4-FFF2-40B4-BE49-F238E27FC236}">
                <a16:creationId xmlns:a16="http://schemas.microsoft.com/office/drawing/2014/main" xmlns="" id="{00000000-0008-0000-0900-000089000000}"/>
              </a:ext>
            </a:extLst>
          </xdr:cNvPr>
          <xdr:cNvSpPr>
            <a:spLocks noChangeArrowheads="1"/>
          </xdr:cNvSpPr>
        </xdr:nvSpPr>
        <xdr:spPr bwMode="auto">
          <a:xfrm>
            <a:off x="4182745" y="807084"/>
            <a:ext cx="366395" cy="13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8" name="Oval 936">
            <a:extLst>
              <a:ext uri="{FF2B5EF4-FFF2-40B4-BE49-F238E27FC236}">
                <a16:creationId xmlns:a16="http://schemas.microsoft.com/office/drawing/2014/main" xmlns="" id="{00000000-0008-0000-0900-00008A000000}"/>
              </a:ext>
            </a:extLst>
          </xdr:cNvPr>
          <xdr:cNvSpPr>
            <a:spLocks noChangeArrowheads="1"/>
          </xdr:cNvSpPr>
        </xdr:nvSpPr>
        <xdr:spPr bwMode="auto">
          <a:xfrm>
            <a:off x="3992880" y="5645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39" name="Oval 937">
            <a:extLst>
              <a:ext uri="{FF2B5EF4-FFF2-40B4-BE49-F238E27FC236}">
                <a16:creationId xmlns:a16="http://schemas.microsoft.com/office/drawing/2014/main" xmlns="" id="{00000000-0008-0000-0900-00008B000000}"/>
              </a:ext>
            </a:extLst>
          </xdr:cNvPr>
          <xdr:cNvSpPr>
            <a:spLocks noChangeArrowheads="1"/>
          </xdr:cNvSpPr>
        </xdr:nvSpPr>
        <xdr:spPr bwMode="auto">
          <a:xfrm>
            <a:off x="3992880" y="5645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40" name="Rectangle 139">
            <a:extLst>
              <a:ext uri="{FF2B5EF4-FFF2-40B4-BE49-F238E27FC236}">
                <a16:creationId xmlns:a16="http://schemas.microsoft.com/office/drawing/2014/main" xmlns="" id="{00000000-0008-0000-0900-00008C000000}"/>
              </a:ext>
            </a:extLst>
          </xdr:cNvPr>
          <xdr:cNvSpPr>
            <a:spLocks noChangeArrowheads="1"/>
          </xdr:cNvSpPr>
        </xdr:nvSpPr>
        <xdr:spPr bwMode="auto">
          <a:xfrm>
            <a:off x="4036060" y="57912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41" name="Line 939">
            <a:extLst>
              <a:ext uri="{FF2B5EF4-FFF2-40B4-BE49-F238E27FC236}">
                <a16:creationId xmlns:a16="http://schemas.microsoft.com/office/drawing/2014/main" xmlns="" id="{00000000-0008-0000-0900-00008D000000}"/>
              </a:ext>
            </a:extLst>
          </xdr:cNvPr>
          <xdr:cNvCxnSpPr/>
        </xdr:nvCxnSpPr>
        <xdr:spPr bwMode="auto">
          <a:xfrm flipV="1">
            <a:off x="4300855" y="48704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2" name="Line 940">
            <a:extLst>
              <a:ext uri="{FF2B5EF4-FFF2-40B4-BE49-F238E27FC236}">
                <a16:creationId xmlns:a16="http://schemas.microsoft.com/office/drawing/2014/main" xmlns="" id="{00000000-0008-0000-0900-00008E000000}"/>
              </a:ext>
            </a:extLst>
          </xdr:cNvPr>
          <xdr:cNvCxnSpPr/>
        </xdr:nvCxnSpPr>
        <xdr:spPr bwMode="auto">
          <a:xfrm>
            <a:off x="4300855" y="96202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3" name="Line 941">
            <a:extLst>
              <a:ext uri="{FF2B5EF4-FFF2-40B4-BE49-F238E27FC236}">
                <a16:creationId xmlns:a16="http://schemas.microsoft.com/office/drawing/2014/main" xmlns="" id="{00000000-0008-0000-0900-00008F000000}"/>
              </a:ext>
            </a:extLst>
          </xdr:cNvPr>
          <xdr:cNvCxnSpPr/>
        </xdr:nvCxnSpPr>
        <xdr:spPr bwMode="auto">
          <a:xfrm>
            <a:off x="4300855" y="171894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4" name="Line 942">
            <a:extLst>
              <a:ext uri="{FF2B5EF4-FFF2-40B4-BE49-F238E27FC236}">
                <a16:creationId xmlns:a16="http://schemas.microsoft.com/office/drawing/2014/main" xmlns="" id="{00000000-0008-0000-0900-000090000000}"/>
              </a:ext>
            </a:extLst>
          </xdr:cNvPr>
          <xdr:cNvCxnSpPr/>
        </xdr:nvCxnSpPr>
        <xdr:spPr bwMode="auto">
          <a:xfrm>
            <a:off x="4300855" y="219138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5" name="Line 943">
            <a:extLst>
              <a:ext uri="{FF2B5EF4-FFF2-40B4-BE49-F238E27FC236}">
                <a16:creationId xmlns:a16="http://schemas.microsoft.com/office/drawing/2014/main" xmlns="" id="{00000000-0008-0000-0900-000091000000}"/>
              </a:ext>
            </a:extLst>
          </xdr:cNvPr>
          <xdr:cNvCxnSpPr/>
        </xdr:nvCxnSpPr>
        <xdr:spPr bwMode="auto">
          <a:xfrm flipV="1">
            <a:off x="1402715" y="157734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6" name="Line 944">
            <a:extLst>
              <a:ext uri="{FF2B5EF4-FFF2-40B4-BE49-F238E27FC236}">
                <a16:creationId xmlns:a16="http://schemas.microsoft.com/office/drawing/2014/main" xmlns="" id="{00000000-0008-0000-0900-000092000000}"/>
              </a:ext>
            </a:extLst>
          </xdr:cNvPr>
          <xdr:cNvCxnSpPr/>
        </xdr:nvCxnSpPr>
        <xdr:spPr bwMode="auto">
          <a:xfrm flipV="1">
            <a:off x="1402715" y="110299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7" name="Line 945">
            <a:extLst>
              <a:ext uri="{FF2B5EF4-FFF2-40B4-BE49-F238E27FC236}">
                <a16:creationId xmlns:a16="http://schemas.microsoft.com/office/drawing/2014/main" xmlns="" id="{00000000-0008-0000-0900-000093000000}"/>
              </a:ext>
            </a:extLst>
          </xdr:cNvPr>
          <xdr:cNvCxnSpPr/>
        </xdr:nvCxnSpPr>
        <xdr:spPr bwMode="auto">
          <a:xfrm flipH="1">
            <a:off x="4154171" y="233426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8" name="Line 946">
            <a:extLst>
              <a:ext uri="{FF2B5EF4-FFF2-40B4-BE49-F238E27FC236}">
                <a16:creationId xmlns:a16="http://schemas.microsoft.com/office/drawing/2014/main" xmlns="" id="{00000000-0008-0000-0900-000094000000}"/>
              </a:ext>
            </a:extLst>
          </xdr:cNvPr>
          <xdr:cNvCxnSpPr/>
        </xdr:nvCxnSpPr>
        <xdr:spPr bwMode="auto">
          <a:xfrm flipH="1">
            <a:off x="4161791" y="187198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9" name="Line 947">
            <a:extLst>
              <a:ext uri="{FF2B5EF4-FFF2-40B4-BE49-F238E27FC236}">
                <a16:creationId xmlns:a16="http://schemas.microsoft.com/office/drawing/2014/main" xmlns="" id="{00000000-0008-0000-0900-000095000000}"/>
              </a:ext>
            </a:extLst>
          </xdr:cNvPr>
          <xdr:cNvCxnSpPr/>
        </xdr:nvCxnSpPr>
        <xdr:spPr bwMode="auto">
          <a:xfrm flipH="1">
            <a:off x="4146551" y="110299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0" name="Line 948">
            <a:extLst>
              <a:ext uri="{FF2B5EF4-FFF2-40B4-BE49-F238E27FC236}">
                <a16:creationId xmlns:a16="http://schemas.microsoft.com/office/drawing/2014/main" xmlns="" id="{00000000-0008-0000-0900-000096000000}"/>
              </a:ext>
            </a:extLst>
          </xdr:cNvPr>
          <xdr:cNvCxnSpPr/>
        </xdr:nvCxnSpPr>
        <xdr:spPr bwMode="auto">
          <a:xfrm flipH="1">
            <a:off x="4161791" y="64071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1" name="Line 949">
            <a:extLst>
              <a:ext uri="{FF2B5EF4-FFF2-40B4-BE49-F238E27FC236}">
                <a16:creationId xmlns:a16="http://schemas.microsoft.com/office/drawing/2014/main" xmlns="" id="{00000000-0008-0000-0900-000097000000}"/>
              </a:ext>
            </a:extLst>
          </xdr:cNvPr>
          <xdr:cNvCxnSpPr/>
        </xdr:nvCxnSpPr>
        <xdr:spPr bwMode="auto">
          <a:xfrm>
            <a:off x="1402715" y="125730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2" name="Line 950">
            <a:extLst>
              <a:ext uri="{FF2B5EF4-FFF2-40B4-BE49-F238E27FC236}">
                <a16:creationId xmlns:a16="http://schemas.microsoft.com/office/drawing/2014/main" xmlns="" id="{00000000-0008-0000-0900-000098000000}"/>
              </a:ext>
            </a:extLst>
          </xdr:cNvPr>
          <xdr:cNvCxnSpPr/>
        </xdr:nvCxnSpPr>
        <xdr:spPr bwMode="auto">
          <a:xfrm>
            <a:off x="1402715" y="171894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153" name="Oval 951">
            <a:extLst>
              <a:ext uri="{FF2B5EF4-FFF2-40B4-BE49-F238E27FC236}">
                <a16:creationId xmlns:a16="http://schemas.microsoft.com/office/drawing/2014/main" xmlns="" id="{00000000-0008-0000-0900-000099000000}"/>
              </a:ext>
            </a:extLst>
          </xdr:cNvPr>
          <xdr:cNvSpPr>
            <a:spLocks noChangeArrowheads="1"/>
          </xdr:cNvSpPr>
        </xdr:nvSpPr>
        <xdr:spPr bwMode="auto">
          <a:xfrm>
            <a:off x="3992880" y="102616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4" name="Oval 952">
            <a:extLst>
              <a:ext uri="{FF2B5EF4-FFF2-40B4-BE49-F238E27FC236}">
                <a16:creationId xmlns:a16="http://schemas.microsoft.com/office/drawing/2014/main" xmlns="" id="{00000000-0008-0000-0900-00009A000000}"/>
              </a:ext>
            </a:extLst>
          </xdr:cNvPr>
          <xdr:cNvSpPr>
            <a:spLocks noChangeArrowheads="1"/>
          </xdr:cNvSpPr>
        </xdr:nvSpPr>
        <xdr:spPr bwMode="auto">
          <a:xfrm>
            <a:off x="3992880" y="102616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5" name="Rectangle 154">
            <a:extLst>
              <a:ext uri="{FF2B5EF4-FFF2-40B4-BE49-F238E27FC236}">
                <a16:creationId xmlns:a16="http://schemas.microsoft.com/office/drawing/2014/main" xmlns="" id="{00000000-0008-0000-0900-00009B000000}"/>
              </a:ext>
            </a:extLst>
          </xdr:cNvPr>
          <xdr:cNvSpPr>
            <a:spLocks noChangeArrowheads="1"/>
          </xdr:cNvSpPr>
        </xdr:nvSpPr>
        <xdr:spPr bwMode="auto">
          <a:xfrm>
            <a:off x="4036060" y="10337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6" name="Oval 954">
            <a:extLst>
              <a:ext uri="{FF2B5EF4-FFF2-40B4-BE49-F238E27FC236}">
                <a16:creationId xmlns:a16="http://schemas.microsoft.com/office/drawing/2014/main" xmlns="" id="{00000000-0008-0000-0900-00009C000000}"/>
              </a:ext>
            </a:extLst>
          </xdr:cNvPr>
          <xdr:cNvSpPr>
            <a:spLocks noChangeArrowheads="1"/>
          </xdr:cNvSpPr>
        </xdr:nvSpPr>
        <xdr:spPr bwMode="auto">
          <a:xfrm>
            <a:off x="1556385" y="164084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7" name="Oval 955">
            <a:extLst>
              <a:ext uri="{FF2B5EF4-FFF2-40B4-BE49-F238E27FC236}">
                <a16:creationId xmlns:a16="http://schemas.microsoft.com/office/drawing/2014/main" xmlns="" id="{00000000-0008-0000-0900-00009D000000}"/>
              </a:ext>
            </a:extLst>
          </xdr:cNvPr>
          <xdr:cNvSpPr>
            <a:spLocks noChangeArrowheads="1"/>
          </xdr:cNvSpPr>
        </xdr:nvSpPr>
        <xdr:spPr bwMode="auto">
          <a:xfrm>
            <a:off x="1556385" y="164084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8" name="Rectangle 157">
            <a:extLst>
              <a:ext uri="{FF2B5EF4-FFF2-40B4-BE49-F238E27FC236}">
                <a16:creationId xmlns:a16="http://schemas.microsoft.com/office/drawing/2014/main" xmlns="" id="{00000000-0008-0000-0900-00009E000000}"/>
              </a:ext>
            </a:extLst>
          </xdr:cNvPr>
          <xdr:cNvSpPr>
            <a:spLocks noChangeArrowheads="1"/>
          </xdr:cNvSpPr>
        </xdr:nvSpPr>
        <xdr:spPr bwMode="auto">
          <a:xfrm>
            <a:off x="1598295" y="165417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9" name="Oval 957">
            <a:extLst>
              <a:ext uri="{FF2B5EF4-FFF2-40B4-BE49-F238E27FC236}">
                <a16:creationId xmlns:a16="http://schemas.microsoft.com/office/drawing/2014/main" xmlns="" id="{00000000-0008-0000-0900-00009F000000}"/>
              </a:ext>
            </a:extLst>
          </xdr:cNvPr>
          <xdr:cNvSpPr>
            <a:spLocks noChangeArrowheads="1"/>
          </xdr:cNvSpPr>
        </xdr:nvSpPr>
        <xdr:spPr bwMode="auto">
          <a:xfrm>
            <a:off x="1556385" y="117919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0" name="Oval 958">
            <a:extLst>
              <a:ext uri="{FF2B5EF4-FFF2-40B4-BE49-F238E27FC236}">
                <a16:creationId xmlns:a16="http://schemas.microsoft.com/office/drawing/2014/main" xmlns="" id="{00000000-0008-0000-0900-0000A0000000}"/>
              </a:ext>
            </a:extLst>
          </xdr:cNvPr>
          <xdr:cNvSpPr>
            <a:spLocks noChangeArrowheads="1"/>
          </xdr:cNvSpPr>
        </xdr:nvSpPr>
        <xdr:spPr bwMode="auto">
          <a:xfrm>
            <a:off x="1556385" y="117919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1" name="Rectangle 160">
            <a:extLst>
              <a:ext uri="{FF2B5EF4-FFF2-40B4-BE49-F238E27FC236}">
                <a16:creationId xmlns:a16="http://schemas.microsoft.com/office/drawing/2014/main" xmlns="" id="{00000000-0008-0000-0900-0000A1000000}"/>
              </a:ext>
            </a:extLst>
          </xdr:cNvPr>
          <xdr:cNvSpPr>
            <a:spLocks noChangeArrowheads="1"/>
          </xdr:cNvSpPr>
        </xdr:nvSpPr>
        <xdr:spPr bwMode="auto">
          <a:xfrm>
            <a:off x="1598295" y="118935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2" name="Oval 960">
            <a:extLst>
              <a:ext uri="{FF2B5EF4-FFF2-40B4-BE49-F238E27FC236}">
                <a16:creationId xmlns:a16="http://schemas.microsoft.com/office/drawing/2014/main" xmlns="" id="{00000000-0008-0000-0900-0000A2000000}"/>
              </a:ext>
            </a:extLst>
          </xdr:cNvPr>
          <xdr:cNvSpPr>
            <a:spLocks noChangeArrowheads="1"/>
          </xdr:cNvSpPr>
        </xdr:nvSpPr>
        <xdr:spPr bwMode="auto">
          <a:xfrm>
            <a:off x="3992880" y="225742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3" name="Oval 961">
            <a:extLst>
              <a:ext uri="{FF2B5EF4-FFF2-40B4-BE49-F238E27FC236}">
                <a16:creationId xmlns:a16="http://schemas.microsoft.com/office/drawing/2014/main" xmlns="" id="{00000000-0008-0000-0900-0000A3000000}"/>
              </a:ext>
            </a:extLst>
          </xdr:cNvPr>
          <xdr:cNvSpPr>
            <a:spLocks noChangeArrowheads="1"/>
          </xdr:cNvSpPr>
        </xdr:nvSpPr>
        <xdr:spPr bwMode="auto">
          <a:xfrm>
            <a:off x="3992880" y="225742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4" name="Rectangle 163">
            <a:extLst>
              <a:ext uri="{FF2B5EF4-FFF2-40B4-BE49-F238E27FC236}">
                <a16:creationId xmlns:a16="http://schemas.microsoft.com/office/drawing/2014/main" xmlns="" id="{00000000-0008-0000-0900-0000A4000000}"/>
              </a:ext>
            </a:extLst>
          </xdr:cNvPr>
          <xdr:cNvSpPr>
            <a:spLocks noChangeArrowheads="1"/>
          </xdr:cNvSpPr>
        </xdr:nvSpPr>
        <xdr:spPr bwMode="auto">
          <a:xfrm>
            <a:off x="4036060" y="226314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5" name="Oval 963">
            <a:extLst>
              <a:ext uri="{FF2B5EF4-FFF2-40B4-BE49-F238E27FC236}">
                <a16:creationId xmlns:a16="http://schemas.microsoft.com/office/drawing/2014/main" xmlns="" id="{00000000-0008-0000-0900-0000A5000000}"/>
              </a:ext>
            </a:extLst>
          </xdr:cNvPr>
          <xdr:cNvSpPr>
            <a:spLocks noChangeArrowheads="1"/>
          </xdr:cNvSpPr>
        </xdr:nvSpPr>
        <xdr:spPr bwMode="auto">
          <a:xfrm>
            <a:off x="3992880" y="179578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6" name="Oval 964">
            <a:extLst>
              <a:ext uri="{FF2B5EF4-FFF2-40B4-BE49-F238E27FC236}">
                <a16:creationId xmlns:a16="http://schemas.microsoft.com/office/drawing/2014/main" xmlns="" id="{00000000-0008-0000-0900-0000A6000000}"/>
              </a:ext>
            </a:extLst>
          </xdr:cNvPr>
          <xdr:cNvSpPr>
            <a:spLocks noChangeArrowheads="1"/>
          </xdr:cNvSpPr>
        </xdr:nvSpPr>
        <xdr:spPr bwMode="auto">
          <a:xfrm>
            <a:off x="3992880" y="179578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7" name="Rectangle 166">
            <a:extLst>
              <a:ext uri="{FF2B5EF4-FFF2-40B4-BE49-F238E27FC236}">
                <a16:creationId xmlns:a16="http://schemas.microsoft.com/office/drawing/2014/main" xmlns="" id="{00000000-0008-0000-0900-0000A7000000}"/>
              </a:ext>
            </a:extLst>
          </xdr:cNvPr>
          <xdr:cNvSpPr>
            <a:spLocks noChangeArrowheads="1"/>
          </xdr:cNvSpPr>
        </xdr:nvSpPr>
        <xdr:spPr bwMode="auto">
          <a:xfrm>
            <a:off x="4036060" y="18084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8" name="Freeform 966">
            <a:extLst>
              <a:ext uri="{FF2B5EF4-FFF2-40B4-BE49-F238E27FC236}">
                <a16:creationId xmlns:a16="http://schemas.microsoft.com/office/drawing/2014/main" xmlns="" id="{00000000-0008-0000-0900-0000A8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69" name="Freeform 967">
            <a:extLst>
              <a:ext uri="{FF2B5EF4-FFF2-40B4-BE49-F238E27FC236}">
                <a16:creationId xmlns:a16="http://schemas.microsoft.com/office/drawing/2014/main" xmlns="" id="{00000000-0008-0000-0900-0000A9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0" name="Rectangle 169">
            <a:extLst>
              <a:ext uri="{FF2B5EF4-FFF2-40B4-BE49-F238E27FC236}">
                <a16:creationId xmlns:a16="http://schemas.microsoft.com/office/drawing/2014/main" xmlns="" id="{00000000-0008-0000-0900-0000AA000000}"/>
              </a:ext>
            </a:extLst>
          </xdr:cNvPr>
          <xdr:cNvSpPr>
            <a:spLocks noChangeArrowheads="1"/>
          </xdr:cNvSpPr>
        </xdr:nvSpPr>
        <xdr:spPr bwMode="auto">
          <a:xfrm>
            <a:off x="4918074" y="804545"/>
            <a:ext cx="499745" cy="132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CE5</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1" name="Freeform 969">
            <a:extLst>
              <a:ext uri="{FF2B5EF4-FFF2-40B4-BE49-F238E27FC236}">
                <a16:creationId xmlns:a16="http://schemas.microsoft.com/office/drawing/2014/main" xmlns="" id="{00000000-0008-0000-0900-0000AB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2" name="Freeform 970">
            <a:extLst>
              <a:ext uri="{FF2B5EF4-FFF2-40B4-BE49-F238E27FC236}">
                <a16:creationId xmlns:a16="http://schemas.microsoft.com/office/drawing/2014/main" xmlns="" id="{00000000-0008-0000-0900-0000AC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3" name="Rectangle 172">
            <a:extLst>
              <a:ext uri="{FF2B5EF4-FFF2-40B4-BE49-F238E27FC236}">
                <a16:creationId xmlns:a16="http://schemas.microsoft.com/office/drawing/2014/main" xmlns="" id="{00000000-0008-0000-0900-0000AD000000}"/>
              </a:ext>
            </a:extLst>
          </xdr:cNvPr>
          <xdr:cNvSpPr>
            <a:spLocks noChangeArrowheads="1"/>
          </xdr:cNvSpPr>
        </xdr:nvSpPr>
        <xdr:spPr bwMode="auto">
          <a:xfrm>
            <a:off x="4926964" y="2033905"/>
            <a:ext cx="536576" cy="17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4" name="Freeform 972">
            <a:extLst>
              <a:ext uri="{FF2B5EF4-FFF2-40B4-BE49-F238E27FC236}">
                <a16:creationId xmlns:a16="http://schemas.microsoft.com/office/drawing/2014/main" xmlns="" id="{00000000-0008-0000-0900-0000AE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5" name="Freeform 973">
            <a:extLst>
              <a:ext uri="{FF2B5EF4-FFF2-40B4-BE49-F238E27FC236}">
                <a16:creationId xmlns:a16="http://schemas.microsoft.com/office/drawing/2014/main" xmlns="" id="{00000000-0008-0000-0900-0000AF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6" name="Rectangle 175">
            <a:extLst>
              <a:ext uri="{FF2B5EF4-FFF2-40B4-BE49-F238E27FC236}">
                <a16:creationId xmlns:a16="http://schemas.microsoft.com/office/drawing/2014/main" xmlns="" id="{00000000-0008-0000-0900-0000B0000000}"/>
              </a:ext>
            </a:extLst>
          </xdr:cNvPr>
          <xdr:cNvSpPr>
            <a:spLocks noChangeArrowheads="1"/>
          </xdr:cNvSpPr>
        </xdr:nvSpPr>
        <xdr:spPr bwMode="auto">
          <a:xfrm>
            <a:off x="2022474" y="1425575"/>
            <a:ext cx="342265" cy="192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4</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77" name="Line 975">
            <a:extLst>
              <a:ext uri="{FF2B5EF4-FFF2-40B4-BE49-F238E27FC236}">
                <a16:creationId xmlns:a16="http://schemas.microsoft.com/office/drawing/2014/main" xmlns="" id="{00000000-0008-0000-0900-0000B1000000}"/>
              </a:ext>
            </a:extLst>
          </xdr:cNvPr>
          <xdr:cNvCxnSpPr/>
        </xdr:nvCxnSpPr>
        <xdr:spPr bwMode="auto">
          <a:xfrm>
            <a:off x="5033010" y="62357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8" name="Line 976">
            <a:extLst>
              <a:ext uri="{FF2B5EF4-FFF2-40B4-BE49-F238E27FC236}">
                <a16:creationId xmlns:a16="http://schemas.microsoft.com/office/drawing/2014/main" xmlns="" id="{00000000-0008-0000-0900-0000B2000000}"/>
              </a:ext>
            </a:extLst>
          </xdr:cNvPr>
          <xdr:cNvCxnSpPr/>
        </xdr:nvCxnSpPr>
        <xdr:spPr bwMode="auto">
          <a:xfrm>
            <a:off x="5041265" y="185420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9" name="Line 977">
            <a:extLst>
              <a:ext uri="{FF2B5EF4-FFF2-40B4-BE49-F238E27FC236}">
                <a16:creationId xmlns:a16="http://schemas.microsoft.com/office/drawing/2014/main" xmlns="" id="{00000000-0008-0000-0900-0000B3000000}"/>
              </a:ext>
            </a:extLst>
          </xdr:cNvPr>
          <xdr:cNvCxnSpPr/>
        </xdr:nvCxnSpPr>
        <xdr:spPr bwMode="auto">
          <a:xfrm flipH="1">
            <a:off x="2139951" y="124079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180" name="Rectangle 179">
            <a:extLst>
              <a:ext uri="{FF2B5EF4-FFF2-40B4-BE49-F238E27FC236}">
                <a16:creationId xmlns:a16="http://schemas.microsoft.com/office/drawing/2014/main" xmlns="" id="{00000000-0008-0000-0900-0000B4000000}"/>
              </a:ext>
            </a:extLst>
          </xdr:cNvPr>
          <xdr:cNvSpPr>
            <a:spLocks noChangeArrowheads="1"/>
          </xdr:cNvSpPr>
        </xdr:nvSpPr>
        <xdr:spPr bwMode="auto">
          <a:xfrm>
            <a:off x="2672080" y="148717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81" name="Rectangle 180">
            <a:extLst>
              <a:ext uri="{FF2B5EF4-FFF2-40B4-BE49-F238E27FC236}">
                <a16:creationId xmlns:a16="http://schemas.microsoft.com/office/drawing/2014/main" xmlns="" id="{00000000-0008-0000-0900-0000B5000000}"/>
              </a:ext>
            </a:extLst>
          </xdr:cNvPr>
          <xdr:cNvSpPr>
            <a:spLocks noChangeArrowheads="1"/>
          </xdr:cNvSpPr>
        </xdr:nvSpPr>
        <xdr:spPr bwMode="auto">
          <a:xfrm>
            <a:off x="2672080" y="148717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2" name="Rectangle 181">
            <a:extLst>
              <a:ext uri="{FF2B5EF4-FFF2-40B4-BE49-F238E27FC236}">
                <a16:creationId xmlns:a16="http://schemas.microsoft.com/office/drawing/2014/main" xmlns="" id="{00000000-0008-0000-0900-0000B6000000}"/>
              </a:ext>
            </a:extLst>
          </xdr:cNvPr>
          <xdr:cNvSpPr>
            <a:spLocks noChangeArrowheads="1"/>
          </xdr:cNvSpPr>
        </xdr:nvSpPr>
        <xdr:spPr bwMode="auto">
          <a:xfrm>
            <a:off x="2731770" y="1579880"/>
            <a:ext cx="12255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3" name="Rectangle 182">
            <a:extLst>
              <a:ext uri="{FF2B5EF4-FFF2-40B4-BE49-F238E27FC236}">
                <a16:creationId xmlns:a16="http://schemas.microsoft.com/office/drawing/2014/main" xmlns="" id="{00000000-0008-0000-0900-0000B7000000}"/>
              </a:ext>
            </a:extLst>
          </xdr:cNvPr>
          <xdr:cNvSpPr>
            <a:spLocks noChangeArrowheads="1"/>
          </xdr:cNvSpPr>
        </xdr:nvSpPr>
        <xdr:spPr bwMode="auto">
          <a:xfrm>
            <a:off x="2857500" y="1588770"/>
            <a:ext cx="9144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4" name="Rectangle 183">
            <a:extLst>
              <a:ext uri="{FF2B5EF4-FFF2-40B4-BE49-F238E27FC236}">
                <a16:creationId xmlns:a16="http://schemas.microsoft.com/office/drawing/2014/main" xmlns="" id="{00000000-0008-0000-0900-0000B8000000}"/>
              </a:ext>
            </a:extLst>
          </xdr:cNvPr>
          <xdr:cNvSpPr>
            <a:spLocks noChangeArrowheads="1"/>
          </xdr:cNvSpPr>
        </xdr:nvSpPr>
        <xdr:spPr bwMode="auto">
          <a:xfrm>
            <a:off x="3771900" y="1579880"/>
            <a:ext cx="3492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5" name="Freeform 983">
            <a:extLst>
              <a:ext uri="{FF2B5EF4-FFF2-40B4-BE49-F238E27FC236}">
                <a16:creationId xmlns:a16="http://schemas.microsoft.com/office/drawing/2014/main" xmlns="" id="{00000000-0008-0000-0900-0000B9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6" name="Freeform 984">
            <a:extLst>
              <a:ext uri="{FF2B5EF4-FFF2-40B4-BE49-F238E27FC236}">
                <a16:creationId xmlns:a16="http://schemas.microsoft.com/office/drawing/2014/main" xmlns="" id="{00000000-0008-0000-0900-0000BA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7" name="Rectangle 186">
            <a:extLst>
              <a:ext uri="{FF2B5EF4-FFF2-40B4-BE49-F238E27FC236}">
                <a16:creationId xmlns:a16="http://schemas.microsoft.com/office/drawing/2014/main" xmlns="" id="{00000000-0008-0000-0900-0000BB000000}"/>
              </a:ext>
            </a:extLst>
          </xdr:cNvPr>
          <xdr:cNvSpPr>
            <a:spLocks noChangeArrowheads="1"/>
          </xdr:cNvSpPr>
        </xdr:nvSpPr>
        <xdr:spPr bwMode="auto">
          <a:xfrm>
            <a:off x="211455" y="2484120"/>
            <a:ext cx="22161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8" name="Freeform 986">
            <a:extLst>
              <a:ext uri="{FF2B5EF4-FFF2-40B4-BE49-F238E27FC236}">
                <a16:creationId xmlns:a16="http://schemas.microsoft.com/office/drawing/2014/main" xmlns="" id="{00000000-0008-0000-0900-0000BC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9" name="Freeform 987">
            <a:extLst>
              <a:ext uri="{FF2B5EF4-FFF2-40B4-BE49-F238E27FC236}">
                <a16:creationId xmlns:a16="http://schemas.microsoft.com/office/drawing/2014/main" xmlns="" id="{00000000-0008-0000-0900-0000BD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0" name="Rectangle 189">
            <a:extLst>
              <a:ext uri="{FF2B5EF4-FFF2-40B4-BE49-F238E27FC236}">
                <a16:creationId xmlns:a16="http://schemas.microsoft.com/office/drawing/2014/main" xmlns="" id="{00000000-0008-0000-0900-0000BE000000}"/>
              </a:ext>
            </a:extLst>
          </xdr:cNvPr>
          <xdr:cNvSpPr>
            <a:spLocks noChangeArrowheads="1"/>
          </xdr:cNvSpPr>
        </xdr:nvSpPr>
        <xdr:spPr bwMode="auto">
          <a:xfrm>
            <a:off x="211455" y="2792730"/>
            <a:ext cx="22606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1" name="Oval 989">
            <a:extLst>
              <a:ext uri="{FF2B5EF4-FFF2-40B4-BE49-F238E27FC236}">
                <a16:creationId xmlns:a16="http://schemas.microsoft.com/office/drawing/2014/main" xmlns="" id="{00000000-0008-0000-0900-0000BF000000}"/>
              </a:ext>
            </a:extLst>
          </xdr:cNvPr>
          <xdr:cNvSpPr>
            <a:spLocks noChangeArrowheads="1"/>
          </xdr:cNvSpPr>
        </xdr:nvSpPr>
        <xdr:spPr bwMode="auto">
          <a:xfrm>
            <a:off x="254000" y="308673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92" name="Oval 990">
            <a:extLst>
              <a:ext uri="{FF2B5EF4-FFF2-40B4-BE49-F238E27FC236}">
                <a16:creationId xmlns:a16="http://schemas.microsoft.com/office/drawing/2014/main" xmlns="" id="{00000000-0008-0000-0900-0000C0000000}"/>
              </a:ext>
            </a:extLst>
          </xdr:cNvPr>
          <xdr:cNvSpPr>
            <a:spLocks noChangeArrowheads="1"/>
          </xdr:cNvSpPr>
        </xdr:nvSpPr>
        <xdr:spPr bwMode="auto">
          <a:xfrm>
            <a:off x="254000" y="308673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3" name="Rectangle 192">
            <a:extLst>
              <a:ext uri="{FF2B5EF4-FFF2-40B4-BE49-F238E27FC236}">
                <a16:creationId xmlns:a16="http://schemas.microsoft.com/office/drawing/2014/main" xmlns="" id="{00000000-0008-0000-0900-0000C1000000}"/>
              </a:ext>
            </a:extLst>
          </xdr:cNvPr>
          <xdr:cNvSpPr>
            <a:spLocks noChangeArrowheads="1"/>
          </xdr:cNvSpPr>
        </xdr:nvSpPr>
        <xdr:spPr bwMode="auto">
          <a:xfrm>
            <a:off x="293370" y="310261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4" name="Rectangle 193">
            <a:extLst>
              <a:ext uri="{FF2B5EF4-FFF2-40B4-BE49-F238E27FC236}">
                <a16:creationId xmlns:a16="http://schemas.microsoft.com/office/drawing/2014/main" xmlns="" id="{00000000-0008-0000-0900-0000C2000000}"/>
              </a:ext>
            </a:extLst>
          </xdr:cNvPr>
          <xdr:cNvSpPr>
            <a:spLocks noChangeArrowheads="1"/>
          </xdr:cNvSpPr>
        </xdr:nvSpPr>
        <xdr:spPr bwMode="auto">
          <a:xfrm>
            <a:off x="683260" y="248475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5" name="Rectangle 194">
            <a:extLst>
              <a:ext uri="{FF2B5EF4-FFF2-40B4-BE49-F238E27FC236}">
                <a16:creationId xmlns:a16="http://schemas.microsoft.com/office/drawing/2014/main" xmlns="" id="{00000000-0008-0000-0900-0000C3000000}"/>
              </a:ext>
            </a:extLst>
          </xdr:cNvPr>
          <xdr:cNvSpPr>
            <a:spLocks noChangeArrowheads="1"/>
          </xdr:cNvSpPr>
        </xdr:nvSpPr>
        <xdr:spPr bwMode="auto">
          <a:xfrm>
            <a:off x="683260" y="248475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6" name="Rectangle 195">
            <a:extLst>
              <a:ext uri="{FF2B5EF4-FFF2-40B4-BE49-F238E27FC236}">
                <a16:creationId xmlns:a16="http://schemas.microsoft.com/office/drawing/2014/main" xmlns="" id="{00000000-0008-0000-0900-0000C4000000}"/>
              </a:ext>
            </a:extLst>
          </xdr:cNvPr>
          <xdr:cNvSpPr>
            <a:spLocks noChangeArrowheads="1"/>
          </xdr:cNvSpPr>
        </xdr:nvSpPr>
        <xdr:spPr bwMode="auto">
          <a:xfrm>
            <a:off x="725805" y="250063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7" name="Rectangle 196">
            <a:extLst>
              <a:ext uri="{FF2B5EF4-FFF2-40B4-BE49-F238E27FC236}">
                <a16:creationId xmlns:a16="http://schemas.microsoft.com/office/drawing/2014/main" xmlns="" id="{00000000-0008-0000-0900-0000C5000000}"/>
              </a:ext>
            </a:extLst>
          </xdr:cNvPr>
          <xdr:cNvSpPr>
            <a:spLocks noChangeArrowheads="1"/>
          </xdr:cNvSpPr>
        </xdr:nvSpPr>
        <xdr:spPr bwMode="auto">
          <a:xfrm>
            <a:off x="696595" y="310007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8" name="Rectangle 197">
            <a:extLst>
              <a:ext uri="{FF2B5EF4-FFF2-40B4-BE49-F238E27FC236}">
                <a16:creationId xmlns:a16="http://schemas.microsoft.com/office/drawing/2014/main" xmlns="" id="{00000000-0008-0000-0900-0000C6000000}"/>
              </a:ext>
            </a:extLst>
          </xdr:cNvPr>
          <xdr:cNvSpPr>
            <a:spLocks noChangeArrowheads="1"/>
          </xdr:cNvSpPr>
        </xdr:nvSpPr>
        <xdr:spPr bwMode="auto">
          <a:xfrm>
            <a:off x="696595" y="310007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9" name="Rectangle 198">
            <a:extLst>
              <a:ext uri="{FF2B5EF4-FFF2-40B4-BE49-F238E27FC236}">
                <a16:creationId xmlns:a16="http://schemas.microsoft.com/office/drawing/2014/main" xmlns="" id="{00000000-0008-0000-0900-0000C7000000}"/>
              </a:ext>
            </a:extLst>
          </xdr:cNvPr>
          <xdr:cNvSpPr>
            <a:spLocks noChangeArrowheads="1"/>
          </xdr:cNvSpPr>
        </xdr:nvSpPr>
        <xdr:spPr bwMode="auto">
          <a:xfrm>
            <a:off x="725805" y="308610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00" name="Rectangle 199">
            <a:extLst>
              <a:ext uri="{FF2B5EF4-FFF2-40B4-BE49-F238E27FC236}">
                <a16:creationId xmlns:a16="http://schemas.microsoft.com/office/drawing/2014/main" xmlns="" id="{00000000-0008-0000-0900-0000C8000000}"/>
              </a:ext>
            </a:extLst>
          </xdr:cNvPr>
          <xdr:cNvSpPr>
            <a:spLocks noChangeArrowheads="1"/>
          </xdr:cNvSpPr>
        </xdr:nvSpPr>
        <xdr:spPr bwMode="auto">
          <a:xfrm>
            <a:off x="688340" y="279146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01" name="Rectangle 200">
            <a:extLst>
              <a:ext uri="{FF2B5EF4-FFF2-40B4-BE49-F238E27FC236}">
                <a16:creationId xmlns:a16="http://schemas.microsoft.com/office/drawing/2014/main" xmlns="" id="{00000000-0008-0000-0900-0000C9000000}"/>
              </a:ext>
            </a:extLst>
          </xdr:cNvPr>
          <xdr:cNvSpPr>
            <a:spLocks noChangeArrowheads="1"/>
          </xdr:cNvSpPr>
        </xdr:nvSpPr>
        <xdr:spPr bwMode="auto">
          <a:xfrm>
            <a:off x="688340" y="279146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2" name="Rectangle 201">
            <a:extLst>
              <a:ext uri="{FF2B5EF4-FFF2-40B4-BE49-F238E27FC236}">
                <a16:creationId xmlns:a16="http://schemas.microsoft.com/office/drawing/2014/main" xmlns="" id="{00000000-0008-0000-0900-0000CA000000}"/>
              </a:ext>
            </a:extLst>
          </xdr:cNvPr>
          <xdr:cNvSpPr>
            <a:spLocks noChangeArrowheads="1"/>
          </xdr:cNvSpPr>
        </xdr:nvSpPr>
        <xdr:spPr bwMode="auto">
          <a:xfrm>
            <a:off x="734695" y="2810510"/>
            <a:ext cx="1209040" cy="113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03" name="Freeform 1001">
            <a:extLst>
              <a:ext uri="{FF2B5EF4-FFF2-40B4-BE49-F238E27FC236}">
                <a16:creationId xmlns:a16="http://schemas.microsoft.com/office/drawing/2014/main" xmlns="" id="{00000000-0008-0000-0900-0000CB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4" name="Freeform 1002">
            <a:extLst>
              <a:ext uri="{FF2B5EF4-FFF2-40B4-BE49-F238E27FC236}">
                <a16:creationId xmlns:a16="http://schemas.microsoft.com/office/drawing/2014/main" xmlns="" id="{00000000-0008-0000-0900-0000CC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5" name="Rectangle 204">
            <a:extLst>
              <a:ext uri="{FF2B5EF4-FFF2-40B4-BE49-F238E27FC236}">
                <a16:creationId xmlns:a16="http://schemas.microsoft.com/office/drawing/2014/main" xmlns="" id="{00000000-0008-0000-0900-0000CD000000}"/>
              </a:ext>
            </a:extLst>
          </xdr:cNvPr>
          <xdr:cNvSpPr>
            <a:spLocks noChangeArrowheads="1"/>
          </xdr:cNvSpPr>
        </xdr:nvSpPr>
        <xdr:spPr bwMode="auto">
          <a:xfrm>
            <a:off x="2717164" y="2816860"/>
            <a:ext cx="452755"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06" name="Line 1004">
            <a:extLst>
              <a:ext uri="{FF2B5EF4-FFF2-40B4-BE49-F238E27FC236}">
                <a16:creationId xmlns:a16="http://schemas.microsoft.com/office/drawing/2014/main" xmlns="" id="{00000000-0008-0000-0900-0000CE000000}"/>
              </a:ext>
            </a:extLst>
          </xdr:cNvPr>
          <xdr:cNvCxnSpPr/>
        </xdr:nvCxnSpPr>
        <xdr:spPr bwMode="auto">
          <a:xfrm flipV="1">
            <a:off x="2834005" y="2640965"/>
            <a:ext cx="1270"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07" name="Freeform 1005">
            <a:extLst>
              <a:ext uri="{FF2B5EF4-FFF2-40B4-BE49-F238E27FC236}">
                <a16:creationId xmlns:a16="http://schemas.microsoft.com/office/drawing/2014/main" xmlns="" id="{00000000-0008-0000-0900-0000CF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8" name="Freeform 1006">
            <a:extLst>
              <a:ext uri="{FF2B5EF4-FFF2-40B4-BE49-F238E27FC236}">
                <a16:creationId xmlns:a16="http://schemas.microsoft.com/office/drawing/2014/main" xmlns="" id="{00000000-0008-0000-0900-0000D0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9" name="Rectangle 208">
            <a:extLst>
              <a:ext uri="{FF2B5EF4-FFF2-40B4-BE49-F238E27FC236}">
                <a16:creationId xmlns:a16="http://schemas.microsoft.com/office/drawing/2014/main" xmlns="" id="{00000000-0008-0000-0900-0000D1000000}"/>
              </a:ext>
            </a:extLst>
          </xdr:cNvPr>
          <xdr:cNvSpPr>
            <a:spLocks noChangeArrowheads="1"/>
          </xdr:cNvSpPr>
        </xdr:nvSpPr>
        <xdr:spPr bwMode="auto">
          <a:xfrm>
            <a:off x="3474719" y="2816860"/>
            <a:ext cx="390525" cy="157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10" name="Line 1008">
            <a:extLst>
              <a:ext uri="{FF2B5EF4-FFF2-40B4-BE49-F238E27FC236}">
                <a16:creationId xmlns:a16="http://schemas.microsoft.com/office/drawing/2014/main" xmlns="" id="{00000000-0008-0000-0900-0000D2000000}"/>
              </a:ext>
            </a:extLst>
          </xdr:cNvPr>
          <xdr:cNvCxnSpPr/>
        </xdr:nvCxnSpPr>
        <xdr:spPr bwMode="auto">
          <a:xfrm flipV="1">
            <a:off x="3589655" y="2640965"/>
            <a:ext cx="635"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11" name="Rectangle 210">
            <a:extLst>
              <a:ext uri="{FF2B5EF4-FFF2-40B4-BE49-F238E27FC236}">
                <a16:creationId xmlns:a16="http://schemas.microsoft.com/office/drawing/2014/main" xmlns="" id="{00000000-0008-0000-0900-0000D3000000}"/>
              </a:ext>
            </a:extLst>
          </xdr:cNvPr>
          <xdr:cNvSpPr>
            <a:spLocks noChangeArrowheads="1"/>
          </xdr:cNvSpPr>
        </xdr:nvSpPr>
        <xdr:spPr bwMode="auto">
          <a:xfrm>
            <a:off x="2679700" y="302641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2" name="Rectangle 211">
            <a:extLst>
              <a:ext uri="{FF2B5EF4-FFF2-40B4-BE49-F238E27FC236}">
                <a16:creationId xmlns:a16="http://schemas.microsoft.com/office/drawing/2014/main" xmlns="" id="{00000000-0008-0000-0900-0000D4000000}"/>
              </a:ext>
            </a:extLst>
          </xdr:cNvPr>
          <xdr:cNvSpPr>
            <a:spLocks noChangeArrowheads="1"/>
          </xdr:cNvSpPr>
        </xdr:nvSpPr>
        <xdr:spPr bwMode="auto">
          <a:xfrm>
            <a:off x="2679700" y="302641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3" name="Rectangle 212">
            <a:extLst>
              <a:ext uri="{FF2B5EF4-FFF2-40B4-BE49-F238E27FC236}">
                <a16:creationId xmlns:a16="http://schemas.microsoft.com/office/drawing/2014/main" xmlns="" id="{00000000-0008-0000-0900-0000D5000000}"/>
              </a:ext>
            </a:extLst>
          </xdr:cNvPr>
          <xdr:cNvSpPr>
            <a:spLocks noChangeArrowheads="1"/>
          </xdr:cNvSpPr>
        </xdr:nvSpPr>
        <xdr:spPr bwMode="auto">
          <a:xfrm>
            <a:off x="2724150" y="304609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14" name="Rectangle 213">
            <a:extLst>
              <a:ext uri="{FF2B5EF4-FFF2-40B4-BE49-F238E27FC236}">
                <a16:creationId xmlns:a16="http://schemas.microsoft.com/office/drawing/2014/main" xmlns="" id="{00000000-0008-0000-0900-0000D6000000}"/>
              </a:ext>
            </a:extLst>
          </xdr:cNvPr>
          <xdr:cNvSpPr>
            <a:spLocks noChangeArrowheads="1"/>
          </xdr:cNvSpPr>
        </xdr:nvSpPr>
        <xdr:spPr bwMode="auto">
          <a:xfrm>
            <a:off x="3366135" y="302641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5" name="Rectangle 214">
            <a:extLst>
              <a:ext uri="{FF2B5EF4-FFF2-40B4-BE49-F238E27FC236}">
                <a16:creationId xmlns:a16="http://schemas.microsoft.com/office/drawing/2014/main" xmlns="" id="{00000000-0008-0000-0900-0000D7000000}"/>
              </a:ext>
            </a:extLst>
          </xdr:cNvPr>
          <xdr:cNvSpPr>
            <a:spLocks noChangeArrowheads="1"/>
          </xdr:cNvSpPr>
        </xdr:nvSpPr>
        <xdr:spPr bwMode="auto">
          <a:xfrm>
            <a:off x="3366135" y="302641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6" name="Rectangle 215">
            <a:extLst>
              <a:ext uri="{FF2B5EF4-FFF2-40B4-BE49-F238E27FC236}">
                <a16:creationId xmlns:a16="http://schemas.microsoft.com/office/drawing/2014/main" xmlns="" id="{00000000-0008-0000-0900-0000D8000000}"/>
              </a:ext>
            </a:extLst>
          </xdr:cNvPr>
          <xdr:cNvSpPr>
            <a:spLocks noChangeArrowheads="1"/>
          </xdr:cNvSpPr>
        </xdr:nvSpPr>
        <xdr:spPr bwMode="auto">
          <a:xfrm>
            <a:off x="3409315" y="3046095"/>
            <a:ext cx="59118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17" name="Line 1015">
            <a:extLst>
              <a:ext uri="{FF2B5EF4-FFF2-40B4-BE49-F238E27FC236}">
                <a16:creationId xmlns:a16="http://schemas.microsoft.com/office/drawing/2014/main" xmlns="" id="{00000000-0008-0000-0900-0000D9000000}"/>
              </a:ext>
            </a:extLst>
          </xdr:cNvPr>
          <xdr:cNvCxnSpPr/>
        </xdr:nvCxnSpPr>
        <xdr:spPr bwMode="auto">
          <a:xfrm>
            <a:off x="4686300" y="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249767</xdr:colOff>
      <xdr:row>206</xdr:row>
      <xdr:rowOff>47625</xdr:rowOff>
    </xdr:from>
    <xdr:to>
      <xdr:col>28</xdr:col>
      <xdr:colOff>633307</xdr:colOff>
      <xdr:row>224</xdr:row>
      <xdr:rowOff>38100</xdr:rowOff>
    </xdr:to>
    <xdr:grpSp>
      <xdr:nvGrpSpPr>
        <xdr:cNvPr id="218" name="Zone de dessin 1156">
          <a:extLst>
            <a:ext uri="{FF2B5EF4-FFF2-40B4-BE49-F238E27FC236}">
              <a16:creationId xmlns:a16="http://schemas.microsoft.com/office/drawing/2014/main" xmlns="" id="{00000000-0008-0000-0900-0000DA000000}"/>
            </a:ext>
          </a:extLst>
        </xdr:cNvPr>
        <xdr:cNvGrpSpPr/>
      </xdr:nvGrpSpPr>
      <xdr:grpSpPr>
        <a:xfrm>
          <a:off x="18167973" y="36825331"/>
          <a:ext cx="6479540" cy="3430681"/>
          <a:chOff x="0" y="0"/>
          <a:chExt cx="6479540" cy="3429000"/>
        </a:xfrm>
      </xdr:grpSpPr>
      <xdr:sp macro="" textlink="">
        <xdr:nvSpPr>
          <xdr:cNvPr id="219" name="Rectangle 218">
            <a:extLst>
              <a:ext uri="{FF2B5EF4-FFF2-40B4-BE49-F238E27FC236}">
                <a16:creationId xmlns:a16="http://schemas.microsoft.com/office/drawing/2014/main" xmlns="" id="{00000000-0008-0000-0900-0000DB000000}"/>
              </a:ext>
            </a:extLst>
          </xdr:cNvPr>
          <xdr:cNvSpPr/>
        </xdr:nvSpPr>
        <xdr:spPr>
          <a:xfrm>
            <a:off x="0" y="0"/>
            <a:ext cx="6479540" cy="3429000"/>
          </a:xfrm>
          <a:prstGeom prst="rect">
            <a:avLst/>
          </a:prstGeom>
          <a:noFill/>
          <a:ln>
            <a:noFill/>
          </a:ln>
        </xdr:spPr>
      </xdr:sp>
      <xdr:sp macro="" textlink="">
        <xdr:nvSpPr>
          <xdr:cNvPr id="220" name="AutoShape 1158">
            <a:extLst>
              <a:ext uri="{FF2B5EF4-FFF2-40B4-BE49-F238E27FC236}">
                <a16:creationId xmlns:a16="http://schemas.microsoft.com/office/drawing/2014/main" xmlns="" id="{00000000-0008-0000-0900-0000DC000000}"/>
              </a:ext>
            </a:extLst>
          </xdr:cNvPr>
          <xdr:cNvSpPr>
            <a:spLocks noChangeAspect="1" noChangeArrowheads="1"/>
          </xdr:cNvSpPr>
        </xdr:nvSpPr>
        <xdr:spPr bwMode="auto">
          <a:xfrm>
            <a:off x="0" y="6438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1" name="Rectangle 220">
            <a:extLst>
              <a:ext uri="{FF2B5EF4-FFF2-40B4-BE49-F238E27FC236}">
                <a16:creationId xmlns:a16="http://schemas.microsoft.com/office/drawing/2014/main" xmlns="" id="{00000000-0008-0000-0900-0000DD000000}"/>
              </a:ext>
            </a:extLst>
          </xdr:cNvPr>
          <xdr:cNvSpPr>
            <a:spLocks noChangeArrowheads="1"/>
          </xdr:cNvSpPr>
        </xdr:nvSpPr>
        <xdr:spPr bwMode="auto">
          <a:xfrm>
            <a:off x="2594610" y="6362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2" name="Rectangle 221">
            <a:extLst>
              <a:ext uri="{FF2B5EF4-FFF2-40B4-BE49-F238E27FC236}">
                <a16:creationId xmlns:a16="http://schemas.microsoft.com/office/drawing/2014/main" xmlns="" id="{00000000-0008-0000-0900-0000DE000000}"/>
              </a:ext>
            </a:extLst>
          </xdr:cNvPr>
          <xdr:cNvSpPr>
            <a:spLocks noChangeArrowheads="1"/>
          </xdr:cNvSpPr>
        </xdr:nvSpPr>
        <xdr:spPr bwMode="auto">
          <a:xfrm>
            <a:off x="2594610" y="6362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23" name="Rectangle 222">
            <a:extLst>
              <a:ext uri="{FF2B5EF4-FFF2-40B4-BE49-F238E27FC236}">
                <a16:creationId xmlns:a16="http://schemas.microsoft.com/office/drawing/2014/main" xmlns="" id="{00000000-0008-0000-0900-0000DF000000}"/>
              </a:ext>
            </a:extLst>
          </xdr:cNvPr>
          <xdr:cNvSpPr>
            <a:spLocks noChangeArrowheads="1"/>
          </xdr:cNvSpPr>
        </xdr:nvSpPr>
        <xdr:spPr bwMode="auto">
          <a:xfrm>
            <a:off x="2936240" y="685800"/>
            <a:ext cx="551815"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24" name="Line 1162">
            <a:extLst>
              <a:ext uri="{FF2B5EF4-FFF2-40B4-BE49-F238E27FC236}">
                <a16:creationId xmlns:a16="http://schemas.microsoft.com/office/drawing/2014/main" xmlns="" id="{00000000-0008-0000-0900-0000E0000000}"/>
              </a:ext>
            </a:extLst>
          </xdr:cNvPr>
          <xdr:cNvCxnSpPr/>
        </xdr:nvCxnSpPr>
        <xdr:spPr bwMode="auto">
          <a:xfrm flipH="1">
            <a:off x="3908425" y="17094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5" name="Freeform 1163">
            <a:extLst>
              <a:ext uri="{FF2B5EF4-FFF2-40B4-BE49-F238E27FC236}">
                <a16:creationId xmlns:a16="http://schemas.microsoft.com/office/drawing/2014/main" xmlns="" id="{00000000-0008-0000-0900-0000E1000000}"/>
              </a:ext>
            </a:extLst>
          </xdr:cNvPr>
          <xdr:cNvSpPr>
            <a:spLocks/>
          </xdr:cNvSpPr>
        </xdr:nvSpPr>
        <xdr:spPr bwMode="auto">
          <a:xfrm>
            <a:off x="3828415" y="16649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226" name="Line 1164">
            <a:extLst>
              <a:ext uri="{FF2B5EF4-FFF2-40B4-BE49-F238E27FC236}">
                <a16:creationId xmlns:a16="http://schemas.microsoft.com/office/drawing/2014/main" xmlns="" id="{00000000-0008-0000-0900-0000E2000000}"/>
              </a:ext>
            </a:extLst>
          </xdr:cNvPr>
          <xdr:cNvCxnSpPr/>
        </xdr:nvCxnSpPr>
        <xdr:spPr bwMode="auto">
          <a:xfrm>
            <a:off x="3828415" y="9429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227" name="Line 1165">
            <a:extLst>
              <a:ext uri="{FF2B5EF4-FFF2-40B4-BE49-F238E27FC236}">
                <a16:creationId xmlns:a16="http://schemas.microsoft.com/office/drawing/2014/main" xmlns="" id="{00000000-0008-0000-0900-0000E3000000}"/>
              </a:ext>
            </a:extLst>
          </xdr:cNvPr>
          <xdr:cNvCxnSpPr/>
        </xdr:nvCxnSpPr>
        <xdr:spPr bwMode="auto">
          <a:xfrm flipH="1">
            <a:off x="1094106" y="9429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8" name="Rectangle 227">
            <a:extLst>
              <a:ext uri="{FF2B5EF4-FFF2-40B4-BE49-F238E27FC236}">
                <a16:creationId xmlns:a16="http://schemas.microsoft.com/office/drawing/2014/main" xmlns="" id="{00000000-0008-0000-0900-0000E4000000}"/>
              </a:ext>
            </a:extLst>
          </xdr:cNvPr>
          <xdr:cNvSpPr>
            <a:spLocks noChangeArrowheads="1"/>
          </xdr:cNvSpPr>
        </xdr:nvSpPr>
        <xdr:spPr bwMode="auto">
          <a:xfrm>
            <a:off x="16510" y="7893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9" name="Rectangle 228">
            <a:extLst>
              <a:ext uri="{FF2B5EF4-FFF2-40B4-BE49-F238E27FC236}">
                <a16:creationId xmlns:a16="http://schemas.microsoft.com/office/drawing/2014/main" xmlns="" id="{00000000-0008-0000-0900-0000E5000000}"/>
              </a:ext>
            </a:extLst>
          </xdr:cNvPr>
          <xdr:cNvSpPr>
            <a:spLocks noChangeArrowheads="1"/>
          </xdr:cNvSpPr>
        </xdr:nvSpPr>
        <xdr:spPr bwMode="auto">
          <a:xfrm>
            <a:off x="16510" y="7893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0" name="Rectangle 229">
            <a:extLst>
              <a:ext uri="{FF2B5EF4-FFF2-40B4-BE49-F238E27FC236}">
                <a16:creationId xmlns:a16="http://schemas.microsoft.com/office/drawing/2014/main" xmlns="" id="{00000000-0008-0000-0900-0000E6000000}"/>
              </a:ext>
            </a:extLst>
          </xdr:cNvPr>
          <xdr:cNvSpPr>
            <a:spLocks noChangeArrowheads="1"/>
          </xdr:cNvSpPr>
        </xdr:nvSpPr>
        <xdr:spPr bwMode="auto">
          <a:xfrm>
            <a:off x="187960" y="11379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1" name="Rectangle 230">
            <a:extLst>
              <a:ext uri="{FF2B5EF4-FFF2-40B4-BE49-F238E27FC236}">
                <a16:creationId xmlns:a16="http://schemas.microsoft.com/office/drawing/2014/main" xmlns="" id="{00000000-0008-0000-0900-0000E7000000}"/>
              </a:ext>
            </a:extLst>
          </xdr:cNvPr>
          <xdr:cNvSpPr>
            <a:spLocks noChangeArrowheads="1"/>
          </xdr:cNvSpPr>
        </xdr:nvSpPr>
        <xdr:spPr bwMode="auto">
          <a:xfrm>
            <a:off x="5385435" y="7893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2" name="Rectangle 231">
            <a:extLst>
              <a:ext uri="{FF2B5EF4-FFF2-40B4-BE49-F238E27FC236}">
                <a16:creationId xmlns:a16="http://schemas.microsoft.com/office/drawing/2014/main" xmlns="" id="{00000000-0008-0000-0900-0000E8000000}"/>
              </a:ext>
            </a:extLst>
          </xdr:cNvPr>
          <xdr:cNvSpPr>
            <a:spLocks noChangeArrowheads="1"/>
          </xdr:cNvSpPr>
        </xdr:nvSpPr>
        <xdr:spPr bwMode="auto">
          <a:xfrm>
            <a:off x="5385435" y="7893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3" name="Rectangle 232">
            <a:extLst>
              <a:ext uri="{FF2B5EF4-FFF2-40B4-BE49-F238E27FC236}">
                <a16:creationId xmlns:a16="http://schemas.microsoft.com/office/drawing/2014/main" xmlns="" id="{00000000-0008-0000-0900-0000E9000000}"/>
              </a:ext>
            </a:extLst>
          </xdr:cNvPr>
          <xdr:cNvSpPr>
            <a:spLocks noChangeArrowheads="1"/>
          </xdr:cNvSpPr>
        </xdr:nvSpPr>
        <xdr:spPr bwMode="auto">
          <a:xfrm>
            <a:off x="5471160" y="12204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34" name="Line 1172">
            <a:extLst>
              <a:ext uri="{FF2B5EF4-FFF2-40B4-BE49-F238E27FC236}">
                <a16:creationId xmlns:a16="http://schemas.microsoft.com/office/drawing/2014/main" xmlns="" id="{00000000-0008-0000-0900-0000EA000000}"/>
              </a:ext>
            </a:extLst>
          </xdr:cNvPr>
          <xdr:cNvCxnSpPr/>
        </xdr:nvCxnSpPr>
        <xdr:spPr bwMode="auto">
          <a:xfrm>
            <a:off x="1094105" y="17094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35" name="Freeform 1173">
            <a:extLst>
              <a:ext uri="{FF2B5EF4-FFF2-40B4-BE49-F238E27FC236}">
                <a16:creationId xmlns:a16="http://schemas.microsoft.com/office/drawing/2014/main" xmlns="" id="{00000000-0008-0000-0900-0000EB000000}"/>
              </a:ext>
            </a:extLst>
          </xdr:cNvPr>
          <xdr:cNvSpPr>
            <a:spLocks/>
          </xdr:cNvSpPr>
        </xdr:nvSpPr>
        <xdr:spPr bwMode="auto">
          <a:xfrm>
            <a:off x="2504440" y="16649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6" name="Oval 1174">
            <a:extLst>
              <a:ext uri="{FF2B5EF4-FFF2-40B4-BE49-F238E27FC236}">
                <a16:creationId xmlns:a16="http://schemas.microsoft.com/office/drawing/2014/main" xmlns="" id="{00000000-0008-0000-0900-0000EC000000}"/>
              </a:ext>
            </a:extLst>
          </xdr:cNvPr>
          <xdr:cNvSpPr>
            <a:spLocks noChangeArrowheads="1"/>
          </xdr:cNvSpPr>
        </xdr:nvSpPr>
        <xdr:spPr bwMode="auto">
          <a:xfrm>
            <a:off x="2009140" y="8051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37" name="Oval 1175">
            <a:extLst>
              <a:ext uri="{FF2B5EF4-FFF2-40B4-BE49-F238E27FC236}">
                <a16:creationId xmlns:a16="http://schemas.microsoft.com/office/drawing/2014/main" xmlns="" id="{00000000-0008-0000-0900-0000ED000000}"/>
              </a:ext>
            </a:extLst>
          </xdr:cNvPr>
          <xdr:cNvSpPr>
            <a:spLocks noChangeArrowheads="1"/>
          </xdr:cNvSpPr>
        </xdr:nvSpPr>
        <xdr:spPr bwMode="auto">
          <a:xfrm>
            <a:off x="2009140" y="8051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8" name="Rectangle 237">
            <a:extLst>
              <a:ext uri="{FF2B5EF4-FFF2-40B4-BE49-F238E27FC236}">
                <a16:creationId xmlns:a16="http://schemas.microsoft.com/office/drawing/2014/main" xmlns="" id="{00000000-0008-0000-0900-0000EE000000}"/>
              </a:ext>
            </a:extLst>
          </xdr:cNvPr>
          <xdr:cNvSpPr>
            <a:spLocks noChangeArrowheads="1"/>
          </xdr:cNvSpPr>
        </xdr:nvSpPr>
        <xdr:spPr bwMode="auto">
          <a:xfrm>
            <a:off x="2096770"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9" name="Oval 1177">
            <a:extLst>
              <a:ext uri="{FF2B5EF4-FFF2-40B4-BE49-F238E27FC236}">
                <a16:creationId xmlns:a16="http://schemas.microsoft.com/office/drawing/2014/main" xmlns="" id="{00000000-0008-0000-0900-0000EF000000}"/>
              </a:ext>
            </a:extLst>
          </xdr:cNvPr>
          <xdr:cNvSpPr>
            <a:spLocks noChangeArrowheads="1"/>
          </xdr:cNvSpPr>
        </xdr:nvSpPr>
        <xdr:spPr bwMode="auto">
          <a:xfrm>
            <a:off x="4956810" y="8051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40" name="Oval 1178">
            <a:extLst>
              <a:ext uri="{FF2B5EF4-FFF2-40B4-BE49-F238E27FC236}">
                <a16:creationId xmlns:a16="http://schemas.microsoft.com/office/drawing/2014/main" xmlns="" id="{00000000-0008-0000-0900-0000F0000000}"/>
              </a:ext>
            </a:extLst>
          </xdr:cNvPr>
          <xdr:cNvSpPr>
            <a:spLocks noChangeArrowheads="1"/>
          </xdr:cNvSpPr>
        </xdr:nvSpPr>
        <xdr:spPr bwMode="auto">
          <a:xfrm>
            <a:off x="4956810" y="8051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1" name="Rectangle 240">
            <a:extLst>
              <a:ext uri="{FF2B5EF4-FFF2-40B4-BE49-F238E27FC236}">
                <a16:creationId xmlns:a16="http://schemas.microsoft.com/office/drawing/2014/main" xmlns="" id="{00000000-0008-0000-0900-0000F1000000}"/>
              </a:ext>
            </a:extLst>
          </xdr:cNvPr>
          <xdr:cNvSpPr>
            <a:spLocks noChangeArrowheads="1"/>
          </xdr:cNvSpPr>
        </xdr:nvSpPr>
        <xdr:spPr bwMode="auto">
          <a:xfrm>
            <a:off x="5045075"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2" name="Freeform 1180">
            <a:extLst>
              <a:ext uri="{FF2B5EF4-FFF2-40B4-BE49-F238E27FC236}">
                <a16:creationId xmlns:a16="http://schemas.microsoft.com/office/drawing/2014/main" xmlns="" id="{00000000-0008-0000-0900-0000F2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3" name="Freeform 1181">
            <a:extLst>
              <a:ext uri="{FF2B5EF4-FFF2-40B4-BE49-F238E27FC236}">
                <a16:creationId xmlns:a16="http://schemas.microsoft.com/office/drawing/2014/main" xmlns="" id="{00000000-0008-0000-0900-0000F3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4" name="Rectangle 243">
            <a:extLst>
              <a:ext uri="{FF2B5EF4-FFF2-40B4-BE49-F238E27FC236}">
                <a16:creationId xmlns:a16="http://schemas.microsoft.com/office/drawing/2014/main" xmlns="" id="{00000000-0008-0000-0900-0000F4000000}"/>
              </a:ext>
            </a:extLst>
          </xdr:cNvPr>
          <xdr:cNvSpPr>
            <a:spLocks noChangeArrowheads="1"/>
          </xdr:cNvSpPr>
        </xdr:nvSpPr>
        <xdr:spPr bwMode="auto">
          <a:xfrm>
            <a:off x="1280160" y="1257300"/>
            <a:ext cx="320040"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5" name="Freeform 1183">
            <a:extLst>
              <a:ext uri="{FF2B5EF4-FFF2-40B4-BE49-F238E27FC236}">
                <a16:creationId xmlns:a16="http://schemas.microsoft.com/office/drawing/2014/main" xmlns="" id="{00000000-0008-0000-0900-0000F5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6" name="Freeform 1184">
            <a:extLst>
              <a:ext uri="{FF2B5EF4-FFF2-40B4-BE49-F238E27FC236}">
                <a16:creationId xmlns:a16="http://schemas.microsoft.com/office/drawing/2014/main" xmlns="" id="{00000000-0008-0000-0900-0000F6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7" name="Rectangle 246">
            <a:extLst>
              <a:ext uri="{FF2B5EF4-FFF2-40B4-BE49-F238E27FC236}">
                <a16:creationId xmlns:a16="http://schemas.microsoft.com/office/drawing/2014/main" xmlns="" id="{00000000-0008-0000-0900-0000F7000000}"/>
              </a:ext>
            </a:extLst>
          </xdr:cNvPr>
          <xdr:cNvSpPr>
            <a:spLocks noChangeArrowheads="1"/>
          </xdr:cNvSpPr>
        </xdr:nvSpPr>
        <xdr:spPr bwMode="auto">
          <a:xfrm>
            <a:off x="4253230" y="1257300"/>
            <a:ext cx="31877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48" name="Line 1186">
            <a:extLst>
              <a:ext uri="{FF2B5EF4-FFF2-40B4-BE49-F238E27FC236}">
                <a16:creationId xmlns:a16="http://schemas.microsoft.com/office/drawing/2014/main" xmlns="" id="{00000000-0008-0000-0900-0000F8000000}"/>
              </a:ext>
            </a:extLst>
          </xdr:cNvPr>
          <xdr:cNvCxnSpPr/>
        </xdr:nvCxnSpPr>
        <xdr:spPr bwMode="auto">
          <a:xfrm>
            <a:off x="4371975" y="9467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49" name="Line 1187">
            <a:extLst>
              <a:ext uri="{FF2B5EF4-FFF2-40B4-BE49-F238E27FC236}">
                <a16:creationId xmlns:a16="http://schemas.microsoft.com/office/drawing/2014/main" xmlns="" id="{00000000-0008-0000-0900-0000F9000000}"/>
              </a:ext>
            </a:extLst>
          </xdr:cNvPr>
          <xdr:cNvCxnSpPr/>
        </xdr:nvCxnSpPr>
        <xdr:spPr bwMode="auto">
          <a:xfrm>
            <a:off x="4371975" y="14185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0" name="Line 1188">
            <a:extLst>
              <a:ext uri="{FF2B5EF4-FFF2-40B4-BE49-F238E27FC236}">
                <a16:creationId xmlns:a16="http://schemas.microsoft.com/office/drawing/2014/main" xmlns="" id="{00000000-0008-0000-0900-0000FA000000}"/>
              </a:ext>
            </a:extLst>
          </xdr:cNvPr>
          <xdr:cNvCxnSpPr/>
        </xdr:nvCxnSpPr>
        <xdr:spPr bwMode="auto">
          <a:xfrm flipV="1">
            <a:off x="1403350" y="1415416"/>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1" name="Line 1189">
            <a:extLst>
              <a:ext uri="{FF2B5EF4-FFF2-40B4-BE49-F238E27FC236}">
                <a16:creationId xmlns:a16="http://schemas.microsoft.com/office/drawing/2014/main" xmlns="" id="{00000000-0008-0000-0900-0000FB000000}"/>
              </a:ext>
            </a:extLst>
          </xdr:cNvPr>
          <xdr:cNvCxnSpPr/>
        </xdr:nvCxnSpPr>
        <xdr:spPr bwMode="auto">
          <a:xfrm flipV="1">
            <a:off x="1403350" y="9429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2" name="Line 1190">
            <a:extLst>
              <a:ext uri="{FF2B5EF4-FFF2-40B4-BE49-F238E27FC236}">
                <a16:creationId xmlns:a16="http://schemas.microsoft.com/office/drawing/2014/main" xmlns="" id="{00000000-0008-0000-0900-0000FC000000}"/>
              </a:ext>
            </a:extLst>
          </xdr:cNvPr>
          <xdr:cNvCxnSpPr/>
        </xdr:nvCxnSpPr>
        <xdr:spPr bwMode="auto">
          <a:xfrm flipH="1">
            <a:off x="4225925" y="15589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3" name="Line 1191">
            <a:extLst>
              <a:ext uri="{FF2B5EF4-FFF2-40B4-BE49-F238E27FC236}">
                <a16:creationId xmlns:a16="http://schemas.microsoft.com/office/drawing/2014/main" xmlns="" id="{00000000-0008-0000-0900-0000FD000000}"/>
              </a:ext>
            </a:extLst>
          </xdr:cNvPr>
          <xdr:cNvCxnSpPr/>
        </xdr:nvCxnSpPr>
        <xdr:spPr bwMode="auto">
          <a:xfrm flipH="1">
            <a:off x="4232911" y="10991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4" name="Line 1192">
            <a:extLst>
              <a:ext uri="{FF2B5EF4-FFF2-40B4-BE49-F238E27FC236}">
                <a16:creationId xmlns:a16="http://schemas.microsoft.com/office/drawing/2014/main" xmlns="" id="{00000000-0008-0000-0900-0000FE000000}"/>
              </a:ext>
            </a:extLst>
          </xdr:cNvPr>
          <xdr:cNvCxnSpPr/>
        </xdr:nvCxnSpPr>
        <xdr:spPr bwMode="auto">
          <a:xfrm>
            <a:off x="1403350" y="10960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5" name="Line 1193">
            <a:extLst>
              <a:ext uri="{FF2B5EF4-FFF2-40B4-BE49-F238E27FC236}">
                <a16:creationId xmlns:a16="http://schemas.microsoft.com/office/drawing/2014/main" xmlns="" id="{00000000-0008-0000-0900-0000FF000000}"/>
              </a:ext>
            </a:extLst>
          </xdr:cNvPr>
          <xdr:cNvCxnSpPr/>
        </xdr:nvCxnSpPr>
        <xdr:spPr bwMode="auto">
          <a:xfrm>
            <a:off x="1403350" y="15557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256" name="Oval 1194">
            <a:extLst>
              <a:ext uri="{FF2B5EF4-FFF2-40B4-BE49-F238E27FC236}">
                <a16:creationId xmlns:a16="http://schemas.microsoft.com/office/drawing/2014/main" xmlns="" id="{00000000-0008-0000-0900-000000010000}"/>
              </a:ext>
            </a:extLst>
          </xdr:cNvPr>
          <xdr:cNvSpPr>
            <a:spLocks noChangeArrowheads="1"/>
          </xdr:cNvSpPr>
        </xdr:nvSpPr>
        <xdr:spPr bwMode="auto">
          <a:xfrm>
            <a:off x="1556385" y="14795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57" name="Oval 1195">
            <a:extLst>
              <a:ext uri="{FF2B5EF4-FFF2-40B4-BE49-F238E27FC236}">
                <a16:creationId xmlns:a16="http://schemas.microsoft.com/office/drawing/2014/main" xmlns="" id="{00000000-0008-0000-0900-000001010000}"/>
              </a:ext>
            </a:extLst>
          </xdr:cNvPr>
          <xdr:cNvSpPr>
            <a:spLocks noChangeArrowheads="1"/>
          </xdr:cNvSpPr>
        </xdr:nvSpPr>
        <xdr:spPr bwMode="auto">
          <a:xfrm>
            <a:off x="1556385" y="14795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58" name="Rectangle 257">
            <a:extLst>
              <a:ext uri="{FF2B5EF4-FFF2-40B4-BE49-F238E27FC236}">
                <a16:creationId xmlns:a16="http://schemas.microsoft.com/office/drawing/2014/main" xmlns="" id="{00000000-0008-0000-0900-000002010000}"/>
              </a:ext>
            </a:extLst>
          </xdr:cNvPr>
          <xdr:cNvSpPr>
            <a:spLocks noChangeArrowheads="1"/>
          </xdr:cNvSpPr>
        </xdr:nvSpPr>
        <xdr:spPr bwMode="auto">
          <a:xfrm>
            <a:off x="1598930" y="14890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59" name="Oval 1197">
            <a:extLst>
              <a:ext uri="{FF2B5EF4-FFF2-40B4-BE49-F238E27FC236}">
                <a16:creationId xmlns:a16="http://schemas.microsoft.com/office/drawing/2014/main" xmlns="" id="{00000000-0008-0000-0900-000003010000}"/>
              </a:ext>
            </a:extLst>
          </xdr:cNvPr>
          <xdr:cNvSpPr>
            <a:spLocks noChangeArrowheads="1"/>
          </xdr:cNvSpPr>
        </xdr:nvSpPr>
        <xdr:spPr bwMode="auto">
          <a:xfrm>
            <a:off x="1556385" y="10191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0" name="Oval 1198">
            <a:extLst>
              <a:ext uri="{FF2B5EF4-FFF2-40B4-BE49-F238E27FC236}">
                <a16:creationId xmlns:a16="http://schemas.microsoft.com/office/drawing/2014/main" xmlns="" id="{00000000-0008-0000-0900-000004010000}"/>
              </a:ext>
            </a:extLst>
          </xdr:cNvPr>
          <xdr:cNvSpPr>
            <a:spLocks noChangeArrowheads="1"/>
          </xdr:cNvSpPr>
        </xdr:nvSpPr>
        <xdr:spPr bwMode="auto">
          <a:xfrm>
            <a:off x="1556385" y="10191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1" name="Rectangle 260">
            <a:extLst>
              <a:ext uri="{FF2B5EF4-FFF2-40B4-BE49-F238E27FC236}">
                <a16:creationId xmlns:a16="http://schemas.microsoft.com/office/drawing/2014/main" xmlns="" id="{00000000-0008-0000-0900-000005010000}"/>
              </a:ext>
            </a:extLst>
          </xdr:cNvPr>
          <xdr:cNvSpPr>
            <a:spLocks noChangeArrowheads="1"/>
          </xdr:cNvSpPr>
        </xdr:nvSpPr>
        <xdr:spPr bwMode="auto">
          <a:xfrm>
            <a:off x="1598930" y="10350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2" name="Oval 1200">
            <a:extLst>
              <a:ext uri="{FF2B5EF4-FFF2-40B4-BE49-F238E27FC236}">
                <a16:creationId xmlns:a16="http://schemas.microsoft.com/office/drawing/2014/main" xmlns="" id="{00000000-0008-0000-0900-000006010000}"/>
              </a:ext>
            </a:extLst>
          </xdr:cNvPr>
          <xdr:cNvSpPr>
            <a:spLocks noChangeArrowheads="1"/>
          </xdr:cNvSpPr>
        </xdr:nvSpPr>
        <xdr:spPr bwMode="auto">
          <a:xfrm>
            <a:off x="4064000" y="14833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3" name="Oval 1201">
            <a:extLst>
              <a:ext uri="{FF2B5EF4-FFF2-40B4-BE49-F238E27FC236}">
                <a16:creationId xmlns:a16="http://schemas.microsoft.com/office/drawing/2014/main" xmlns="" id="{00000000-0008-0000-0900-000007010000}"/>
              </a:ext>
            </a:extLst>
          </xdr:cNvPr>
          <xdr:cNvSpPr>
            <a:spLocks noChangeArrowheads="1"/>
          </xdr:cNvSpPr>
        </xdr:nvSpPr>
        <xdr:spPr bwMode="auto">
          <a:xfrm>
            <a:off x="4064000" y="14833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4" name="Rectangle 263">
            <a:extLst>
              <a:ext uri="{FF2B5EF4-FFF2-40B4-BE49-F238E27FC236}">
                <a16:creationId xmlns:a16="http://schemas.microsoft.com/office/drawing/2014/main" xmlns="" id="{00000000-0008-0000-0900-000008010000}"/>
              </a:ext>
            </a:extLst>
          </xdr:cNvPr>
          <xdr:cNvSpPr>
            <a:spLocks noChangeArrowheads="1"/>
          </xdr:cNvSpPr>
        </xdr:nvSpPr>
        <xdr:spPr bwMode="auto">
          <a:xfrm>
            <a:off x="4107180" y="14928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5" name="Oval 1203">
            <a:extLst>
              <a:ext uri="{FF2B5EF4-FFF2-40B4-BE49-F238E27FC236}">
                <a16:creationId xmlns:a16="http://schemas.microsoft.com/office/drawing/2014/main" xmlns="" id="{00000000-0008-0000-0900-000009010000}"/>
              </a:ext>
            </a:extLst>
          </xdr:cNvPr>
          <xdr:cNvSpPr>
            <a:spLocks noChangeArrowheads="1"/>
          </xdr:cNvSpPr>
        </xdr:nvSpPr>
        <xdr:spPr bwMode="auto">
          <a:xfrm>
            <a:off x="4064000" y="10236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6" name="Oval 1204">
            <a:extLst>
              <a:ext uri="{FF2B5EF4-FFF2-40B4-BE49-F238E27FC236}">
                <a16:creationId xmlns:a16="http://schemas.microsoft.com/office/drawing/2014/main" xmlns="" id="{00000000-0008-0000-0900-00000A010000}"/>
              </a:ext>
            </a:extLst>
          </xdr:cNvPr>
          <xdr:cNvSpPr>
            <a:spLocks noChangeArrowheads="1"/>
          </xdr:cNvSpPr>
        </xdr:nvSpPr>
        <xdr:spPr bwMode="auto">
          <a:xfrm>
            <a:off x="4064000" y="10236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7" name="Rectangle 266">
            <a:extLst>
              <a:ext uri="{FF2B5EF4-FFF2-40B4-BE49-F238E27FC236}">
                <a16:creationId xmlns:a16="http://schemas.microsoft.com/office/drawing/2014/main" xmlns="" id="{00000000-0008-0000-0900-00000B010000}"/>
              </a:ext>
            </a:extLst>
          </xdr:cNvPr>
          <xdr:cNvSpPr>
            <a:spLocks noChangeArrowheads="1"/>
          </xdr:cNvSpPr>
        </xdr:nvSpPr>
        <xdr:spPr bwMode="auto">
          <a:xfrm>
            <a:off x="4107180" y="10382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8" name="Freeform 1206">
            <a:extLst>
              <a:ext uri="{FF2B5EF4-FFF2-40B4-BE49-F238E27FC236}">
                <a16:creationId xmlns:a16="http://schemas.microsoft.com/office/drawing/2014/main" xmlns="" id="{00000000-0008-0000-0900-00000C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69" name="Freeform 1207">
            <a:extLst>
              <a:ext uri="{FF2B5EF4-FFF2-40B4-BE49-F238E27FC236}">
                <a16:creationId xmlns:a16="http://schemas.microsoft.com/office/drawing/2014/main" xmlns="" id="{00000000-0008-0000-0900-00000D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0" name="Rectangle 269">
            <a:extLst>
              <a:ext uri="{FF2B5EF4-FFF2-40B4-BE49-F238E27FC236}">
                <a16:creationId xmlns:a16="http://schemas.microsoft.com/office/drawing/2014/main" xmlns="" id="{00000000-0008-0000-0900-00000E010000}"/>
              </a:ext>
            </a:extLst>
          </xdr:cNvPr>
          <xdr:cNvSpPr>
            <a:spLocks noChangeArrowheads="1"/>
          </xdr:cNvSpPr>
        </xdr:nvSpPr>
        <xdr:spPr bwMode="auto">
          <a:xfrm>
            <a:off x="4988559" y="1257300"/>
            <a:ext cx="3968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1" name="Freeform 1209">
            <a:extLst>
              <a:ext uri="{FF2B5EF4-FFF2-40B4-BE49-F238E27FC236}">
                <a16:creationId xmlns:a16="http://schemas.microsoft.com/office/drawing/2014/main" xmlns="" id="{00000000-0008-0000-0900-00000F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72" name="Freeform 1210">
            <a:extLst>
              <a:ext uri="{FF2B5EF4-FFF2-40B4-BE49-F238E27FC236}">
                <a16:creationId xmlns:a16="http://schemas.microsoft.com/office/drawing/2014/main" xmlns="" id="{00000000-0008-0000-0900-000010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3" name="Rectangle 272">
            <a:extLst>
              <a:ext uri="{FF2B5EF4-FFF2-40B4-BE49-F238E27FC236}">
                <a16:creationId xmlns:a16="http://schemas.microsoft.com/office/drawing/2014/main" xmlns="" id="{00000000-0008-0000-0900-000011010000}"/>
              </a:ext>
            </a:extLst>
          </xdr:cNvPr>
          <xdr:cNvSpPr>
            <a:spLocks noChangeArrowheads="1"/>
          </xdr:cNvSpPr>
        </xdr:nvSpPr>
        <xdr:spPr bwMode="auto">
          <a:xfrm>
            <a:off x="2022475" y="1257300"/>
            <a:ext cx="423545" cy="14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74" name="Line 1212">
            <a:extLst>
              <a:ext uri="{FF2B5EF4-FFF2-40B4-BE49-F238E27FC236}">
                <a16:creationId xmlns:a16="http://schemas.microsoft.com/office/drawing/2014/main" xmlns="" id="{00000000-0008-0000-0900-000012010000}"/>
              </a:ext>
            </a:extLst>
          </xdr:cNvPr>
          <xdr:cNvCxnSpPr/>
        </xdr:nvCxnSpPr>
        <xdr:spPr bwMode="auto">
          <a:xfrm>
            <a:off x="5102225" y="10795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275" name="Line 1213">
            <a:extLst>
              <a:ext uri="{FF2B5EF4-FFF2-40B4-BE49-F238E27FC236}">
                <a16:creationId xmlns:a16="http://schemas.microsoft.com/office/drawing/2014/main" xmlns="" id="{00000000-0008-0000-0900-000013010000}"/>
              </a:ext>
            </a:extLst>
          </xdr:cNvPr>
          <xdr:cNvCxnSpPr/>
        </xdr:nvCxnSpPr>
        <xdr:spPr bwMode="auto">
          <a:xfrm>
            <a:off x="2141220" y="10795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76" name="Rectangle 275">
            <a:extLst>
              <a:ext uri="{FF2B5EF4-FFF2-40B4-BE49-F238E27FC236}">
                <a16:creationId xmlns:a16="http://schemas.microsoft.com/office/drawing/2014/main" xmlns="" id="{00000000-0008-0000-0900-000014010000}"/>
              </a:ext>
            </a:extLst>
          </xdr:cNvPr>
          <xdr:cNvSpPr>
            <a:spLocks noChangeArrowheads="1"/>
          </xdr:cNvSpPr>
        </xdr:nvSpPr>
        <xdr:spPr bwMode="auto">
          <a:xfrm>
            <a:off x="2672715" y="1364615"/>
            <a:ext cx="1080135" cy="3835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77" name="Rectangle 276">
            <a:extLst>
              <a:ext uri="{FF2B5EF4-FFF2-40B4-BE49-F238E27FC236}">
                <a16:creationId xmlns:a16="http://schemas.microsoft.com/office/drawing/2014/main" xmlns="" id="{00000000-0008-0000-0900-000015010000}"/>
              </a:ext>
            </a:extLst>
          </xdr:cNvPr>
          <xdr:cNvSpPr>
            <a:spLocks noChangeArrowheads="1"/>
          </xdr:cNvSpPr>
        </xdr:nvSpPr>
        <xdr:spPr bwMode="auto">
          <a:xfrm>
            <a:off x="2672715" y="13646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8" name="Rectangle 277">
            <a:extLst>
              <a:ext uri="{FF2B5EF4-FFF2-40B4-BE49-F238E27FC236}">
                <a16:creationId xmlns:a16="http://schemas.microsoft.com/office/drawing/2014/main" xmlns="" id="{00000000-0008-0000-0900-000016010000}"/>
              </a:ext>
            </a:extLst>
          </xdr:cNvPr>
          <xdr:cNvSpPr>
            <a:spLocks noChangeArrowheads="1"/>
          </xdr:cNvSpPr>
        </xdr:nvSpPr>
        <xdr:spPr bwMode="auto">
          <a:xfrm>
            <a:off x="2743200" y="1489075"/>
            <a:ext cx="102870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9" name="Freeform 1217">
            <a:extLst>
              <a:ext uri="{FF2B5EF4-FFF2-40B4-BE49-F238E27FC236}">
                <a16:creationId xmlns:a16="http://schemas.microsoft.com/office/drawing/2014/main" xmlns="" id="{00000000-0008-0000-0900-000017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80" name="Freeform 1218">
            <a:extLst>
              <a:ext uri="{FF2B5EF4-FFF2-40B4-BE49-F238E27FC236}">
                <a16:creationId xmlns:a16="http://schemas.microsoft.com/office/drawing/2014/main" xmlns="" id="{00000000-0008-0000-0900-000018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1" name="Rectangle 280">
            <a:extLst>
              <a:ext uri="{FF2B5EF4-FFF2-40B4-BE49-F238E27FC236}">
                <a16:creationId xmlns:a16="http://schemas.microsoft.com/office/drawing/2014/main" xmlns="" id="{00000000-0008-0000-0900-000019010000}"/>
              </a:ext>
            </a:extLst>
          </xdr:cNvPr>
          <xdr:cNvSpPr>
            <a:spLocks noChangeArrowheads="1"/>
          </xdr:cNvSpPr>
        </xdr:nvSpPr>
        <xdr:spPr bwMode="auto">
          <a:xfrm>
            <a:off x="130810" y="2171700"/>
            <a:ext cx="326390" cy="127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2" name="Freeform 1220">
            <a:extLst>
              <a:ext uri="{FF2B5EF4-FFF2-40B4-BE49-F238E27FC236}">
                <a16:creationId xmlns:a16="http://schemas.microsoft.com/office/drawing/2014/main" xmlns="" id="{00000000-0008-0000-0900-00001A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83" name="Freeform 1221">
            <a:extLst>
              <a:ext uri="{FF2B5EF4-FFF2-40B4-BE49-F238E27FC236}">
                <a16:creationId xmlns:a16="http://schemas.microsoft.com/office/drawing/2014/main" xmlns="" id="{00000000-0008-0000-0900-00001B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4" name="Rectangle 283">
            <a:extLst>
              <a:ext uri="{FF2B5EF4-FFF2-40B4-BE49-F238E27FC236}">
                <a16:creationId xmlns:a16="http://schemas.microsoft.com/office/drawing/2014/main" xmlns="" id="{00000000-0008-0000-0900-00001C010000}"/>
              </a:ext>
            </a:extLst>
          </xdr:cNvPr>
          <xdr:cNvSpPr>
            <a:spLocks noChangeArrowheads="1"/>
          </xdr:cNvSpPr>
        </xdr:nvSpPr>
        <xdr:spPr bwMode="auto">
          <a:xfrm>
            <a:off x="130810" y="2493645"/>
            <a:ext cx="32639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5" name="Oval 1223">
            <a:extLst>
              <a:ext uri="{FF2B5EF4-FFF2-40B4-BE49-F238E27FC236}">
                <a16:creationId xmlns:a16="http://schemas.microsoft.com/office/drawing/2014/main" xmlns="" id="{00000000-0008-0000-0900-00001D010000}"/>
              </a:ext>
            </a:extLst>
          </xdr:cNvPr>
          <xdr:cNvSpPr>
            <a:spLocks noChangeArrowheads="1"/>
          </xdr:cNvSpPr>
        </xdr:nvSpPr>
        <xdr:spPr bwMode="auto">
          <a:xfrm>
            <a:off x="175260" y="27698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86" name="Freeform 1224">
            <a:extLst>
              <a:ext uri="{FF2B5EF4-FFF2-40B4-BE49-F238E27FC236}">
                <a16:creationId xmlns:a16="http://schemas.microsoft.com/office/drawing/2014/main" xmlns="" id="{00000000-0008-0000-0900-00001E010000}"/>
              </a:ext>
            </a:extLst>
          </xdr:cNvPr>
          <xdr:cNvSpPr>
            <a:spLocks/>
          </xdr:cNvSpPr>
        </xdr:nvSpPr>
        <xdr:spPr bwMode="auto">
          <a:xfrm>
            <a:off x="175260" y="27698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7" name="Rectangle 286">
            <a:extLst>
              <a:ext uri="{FF2B5EF4-FFF2-40B4-BE49-F238E27FC236}">
                <a16:creationId xmlns:a16="http://schemas.microsoft.com/office/drawing/2014/main" xmlns="" id="{00000000-0008-0000-0900-00001F010000}"/>
              </a:ext>
            </a:extLst>
          </xdr:cNvPr>
          <xdr:cNvSpPr>
            <a:spLocks noChangeArrowheads="1"/>
          </xdr:cNvSpPr>
        </xdr:nvSpPr>
        <xdr:spPr bwMode="auto">
          <a:xfrm>
            <a:off x="220345" y="27793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8" name="Rectangle 287">
            <a:extLst>
              <a:ext uri="{FF2B5EF4-FFF2-40B4-BE49-F238E27FC236}">
                <a16:creationId xmlns:a16="http://schemas.microsoft.com/office/drawing/2014/main" xmlns="" id="{00000000-0008-0000-0900-000020010000}"/>
              </a:ext>
            </a:extLst>
          </xdr:cNvPr>
          <xdr:cNvSpPr>
            <a:spLocks noChangeArrowheads="1"/>
          </xdr:cNvSpPr>
        </xdr:nvSpPr>
        <xdr:spPr bwMode="auto">
          <a:xfrm>
            <a:off x="605155" y="21691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89" name="Rectangle 288">
            <a:extLst>
              <a:ext uri="{FF2B5EF4-FFF2-40B4-BE49-F238E27FC236}">
                <a16:creationId xmlns:a16="http://schemas.microsoft.com/office/drawing/2014/main" xmlns="" id="{00000000-0008-0000-0900-000021010000}"/>
              </a:ext>
            </a:extLst>
          </xdr:cNvPr>
          <xdr:cNvSpPr>
            <a:spLocks noChangeArrowheads="1"/>
          </xdr:cNvSpPr>
        </xdr:nvSpPr>
        <xdr:spPr bwMode="auto">
          <a:xfrm>
            <a:off x="605155" y="21691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0" name="Rectangle 289">
            <a:extLst>
              <a:ext uri="{FF2B5EF4-FFF2-40B4-BE49-F238E27FC236}">
                <a16:creationId xmlns:a16="http://schemas.microsoft.com/office/drawing/2014/main" xmlns="" id="{00000000-0008-0000-0900-000022010000}"/>
              </a:ext>
            </a:extLst>
          </xdr:cNvPr>
          <xdr:cNvSpPr>
            <a:spLocks noChangeArrowheads="1"/>
          </xdr:cNvSpPr>
        </xdr:nvSpPr>
        <xdr:spPr bwMode="auto">
          <a:xfrm>
            <a:off x="643890" y="21717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1" name="Rectangle 290">
            <a:extLst>
              <a:ext uri="{FF2B5EF4-FFF2-40B4-BE49-F238E27FC236}">
                <a16:creationId xmlns:a16="http://schemas.microsoft.com/office/drawing/2014/main" xmlns="" id="{00000000-0008-0000-0900-000023010000}"/>
              </a:ext>
            </a:extLst>
          </xdr:cNvPr>
          <xdr:cNvSpPr>
            <a:spLocks noChangeArrowheads="1"/>
          </xdr:cNvSpPr>
        </xdr:nvSpPr>
        <xdr:spPr bwMode="auto">
          <a:xfrm>
            <a:off x="617220" y="27819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2" name="Rectangle 291">
            <a:extLst>
              <a:ext uri="{FF2B5EF4-FFF2-40B4-BE49-F238E27FC236}">
                <a16:creationId xmlns:a16="http://schemas.microsoft.com/office/drawing/2014/main" xmlns="" id="{00000000-0008-0000-0900-000024010000}"/>
              </a:ext>
            </a:extLst>
          </xdr:cNvPr>
          <xdr:cNvSpPr>
            <a:spLocks noChangeArrowheads="1"/>
          </xdr:cNvSpPr>
        </xdr:nvSpPr>
        <xdr:spPr bwMode="auto">
          <a:xfrm>
            <a:off x="617220" y="27819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3" name="Rectangle 292">
            <a:extLst>
              <a:ext uri="{FF2B5EF4-FFF2-40B4-BE49-F238E27FC236}">
                <a16:creationId xmlns:a16="http://schemas.microsoft.com/office/drawing/2014/main" xmlns="" id="{00000000-0008-0000-0900-000025010000}"/>
              </a:ext>
            </a:extLst>
          </xdr:cNvPr>
          <xdr:cNvSpPr>
            <a:spLocks noChangeArrowheads="1"/>
          </xdr:cNvSpPr>
        </xdr:nvSpPr>
        <xdr:spPr bwMode="auto">
          <a:xfrm>
            <a:off x="652780" y="28098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4" name="Rectangle 293">
            <a:extLst>
              <a:ext uri="{FF2B5EF4-FFF2-40B4-BE49-F238E27FC236}">
                <a16:creationId xmlns:a16="http://schemas.microsoft.com/office/drawing/2014/main" xmlns="" id="{00000000-0008-0000-0900-000026010000}"/>
              </a:ext>
            </a:extLst>
          </xdr:cNvPr>
          <xdr:cNvSpPr>
            <a:spLocks noChangeArrowheads="1"/>
          </xdr:cNvSpPr>
        </xdr:nvSpPr>
        <xdr:spPr bwMode="auto">
          <a:xfrm>
            <a:off x="610235" y="24758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5" name="Rectangle 294">
            <a:extLst>
              <a:ext uri="{FF2B5EF4-FFF2-40B4-BE49-F238E27FC236}">
                <a16:creationId xmlns:a16="http://schemas.microsoft.com/office/drawing/2014/main" xmlns="" id="{00000000-0008-0000-0900-000027010000}"/>
              </a:ext>
            </a:extLst>
          </xdr:cNvPr>
          <xdr:cNvSpPr>
            <a:spLocks noChangeArrowheads="1"/>
          </xdr:cNvSpPr>
        </xdr:nvSpPr>
        <xdr:spPr bwMode="auto">
          <a:xfrm>
            <a:off x="610235" y="24758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6" name="Rectangle 295">
            <a:extLst>
              <a:ext uri="{FF2B5EF4-FFF2-40B4-BE49-F238E27FC236}">
                <a16:creationId xmlns:a16="http://schemas.microsoft.com/office/drawing/2014/main" xmlns="" id="{00000000-0008-0000-0900-000028010000}"/>
              </a:ext>
            </a:extLst>
          </xdr:cNvPr>
          <xdr:cNvSpPr>
            <a:spLocks noChangeArrowheads="1"/>
          </xdr:cNvSpPr>
        </xdr:nvSpPr>
        <xdr:spPr bwMode="auto">
          <a:xfrm>
            <a:off x="652780" y="2514600"/>
            <a:ext cx="16332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7" name="Freeform 1235">
            <a:extLst>
              <a:ext uri="{FF2B5EF4-FFF2-40B4-BE49-F238E27FC236}">
                <a16:creationId xmlns:a16="http://schemas.microsoft.com/office/drawing/2014/main" xmlns="" id="{00000000-0008-0000-0900-000029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98" name="Freeform 1236">
            <a:extLst>
              <a:ext uri="{FF2B5EF4-FFF2-40B4-BE49-F238E27FC236}">
                <a16:creationId xmlns:a16="http://schemas.microsoft.com/office/drawing/2014/main" xmlns="" id="{00000000-0008-0000-0900-00002A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9" name="Rectangle 298">
            <a:extLst>
              <a:ext uri="{FF2B5EF4-FFF2-40B4-BE49-F238E27FC236}">
                <a16:creationId xmlns:a16="http://schemas.microsoft.com/office/drawing/2014/main" xmlns="" id="{00000000-0008-0000-0900-00002B010000}"/>
              </a:ext>
            </a:extLst>
          </xdr:cNvPr>
          <xdr:cNvSpPr>
            <a:spLocks noChangeArrowheads="1"/>
          </xdr:cNvSpPr>
        </xdr:nvSpPr>
        <xdr:spPr bwMode="auto">
          <a:xfrm>
            <a:off x="2715895" y="21717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00" name="Line 1238">
            <a:extLst>
              <a:ext uri="{FF2B5EF4-FFF2-40B4-BE49-F238E27FC236}">
                <a16:creationId xmlns:a16="http://schemas.microsoft.com/office/drawing/2014/main" xmlns="" id="{00000000-0008-0000-0900-00002C010000}"/>
              </a:ext>
            </a:extLst>
          </xdr:cNvPr>
          <xdr:cNvCxnSpPr/>
        </xdr:nvCxnSpPr>
        <xdr:spPr bwMode="auto">
          <a:xfrm flipV="1">
            <a:off x="2831465" y="2016126"/>
            <a:ext cx="635"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1" name="Freeform 1239">
            <a:extLst>
              <a:ext uri="{FF2B5EF4-FFF2-40B4-BE49-F238E27FC236}">
                <a16:creationId xmlns:a16="http://schemas.microsoft.com/office/drawing/2014/main" xmlns="" id="{00000000-0008-0000-0900-00002D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02" name="Freeform 1240">
            <a:extLst>
              <a:ext uri="{FF2B5EF4-FFF2-40B4-BE49-F238E27FC236}">
                <a16:creationId xmlns:a16="http://schemas.microsoft.com/office/drawing/2014/main" xmlns="" id="{00000000-0008-0000-0900-00002E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3" name="Rectangle 302">
            <a:extLst>
              <a:ext uri="{FF2B5EF4-FFF2-40B4-BE49-F238E27FC236}">
                <a16:creationId xmlns:a16="http://schemas.microsoft.com/office/drawing/2014/main" xmlns="" id="{00000000-0008-0000-0900-00002F010000}"/>
              </a:ext>
            </a:extLst>
          </xdr:cNvPr>
          <xdr:cNvSpPr>
            <a:spLocks noChangeArrowheads="1"/>
          </xdr:cNvSpPr>
        </xdr:nvSpPr>
        <xdr:spPr bwMode="auto">
          <a:xfrm>
            <a:off x="3466465" y="2171700"/>
            <a:ext cx="49593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04" name="Line 1242">
            <a:extLst>
              <a:ext uri="{FF2B5EF4-FFF2-40B4-BE49-F238E27FC236}">
                <a16:creationId xmlns:a16="http://schemas.microsoft.com/office/drawing/2014/main" xmlns="" id="{00000000-0008-0000-0900-000030010000}"/>
              </a:ext>
            </a:extLst>
          </xdr:cNvPr>
          <xdr:cNvCxnSpPr/>
        </xdr:nvCxnSpPr>
        <xdr:spPr bwMode="auto">
          <a:xfrm flipV="1">
            <a:off x="3586480" y="2016126"/>
            <a:ext cx="1270"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5" name="Rectangle 304">
            <a:extLst>
              <a:ext uri="{FF2B5EF4-FFF2-40B4-BE49-F238E27FC236}">
                <a16:creationId xmlns:a16="http://schemas.microsoft.com/office/drawing/2014/main" xmlns="" id="{00000000-0008-0000-0900-000031010000}"/>
              </a:ext>
            </a:extLst>
          </xdr:cNvPr>
          <xdr:cNvSpPr>
            <a:spLocks noChangeArrowheads="1"/>
          </xdr:cNvSpPr>
        </xdr:nvSpPr>
        <xdr:spPr bwMode="auto">
          <a:xfrm>
            <a:off x="2677795" y="23996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6" name="Rectangle 305">
            <a:extLst>
              <a:ext uri="{FF2B5EF4-FFF2-40B4-BE49-F238E27FC236}">
                <a16:creationId xmlns:a16="http://schemas.microsoft.com/office/drawing/2014/main" xmlns="" id="{00000000-0008-0000-0900-000032010000}"/>
              </a:ext>
            </a:extLst>
          </xdr:cNvPr>
          <xdr:cNvSpPr>
            <a:spLocks noChangeArrowheads="1"/>
          </xdr:cNvSpPr>
        </xdr:nvSpPr>
        <xdr:spPr bwMode="auto">
          <a:xfrm>
            <a:off x="2677795" y="23996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7" name="Rectangle 306">
            <a:extLst>
              <a:ext uri="{FF2B5EF4-FFF2-40B4-BE49-F238E27FC236}">
                <a16:creationId xmlns:a16="http://schemas.microsoft.com/office/drawing/2014/main" xmlns="" id="{00000000-0008-0000-0900-000033010000}"/>
              </a:ext>
            </a:extLst>
          </xdr:cNvPr>
          <xdr:cNvSpPr>
            <a:spLocks noChangeArrowheads="1"/>
          </xdr:cNvSpPr>
        </xdr:nvSpPr>
        <xdr:spPr bwMode="auto">
          <a:xfrm>
            <a:off x="2715895" y="24142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08" name="Rectangle 307">
            <a:extLst>
              <a:ext uri="{FF2B5EF4-FFF2-40B4-BE49-F238E27FC236}">
                <a16:creationId xmlns:a16="http://schemas.microsoft.com/office/drawing/2014/main" xmlns="" id="{00000000-0008-0000-0900-000034010000}"/>
              </a:ext>
            </a:extLst>
          </xdr:cNvPr>
          <xdr:cNvSpPr>
            <a:spLocks noChangeArrowheads="1"/>
          </xdr:cNvSpPr>
        </xdr:nvSpPr>
        <xdr:spPr bwMode="auto">
          <a:xfrm>
            <a:off x="3364230" y="23996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9" name="Rectangle 308">
            <a:extLst>
              <a:ext uri="{FF2B5EF4-FFF2-40B4-BE49-F238E27FC236}">
                <a16:creationId xmlns:a16="http://schemas.microsoft.com/office/drawing/2014/main" xmlns="" id="{00000000-0008-0000-0900-000035010000}"/>
              </a:ext>
            </a:extLst>
          </xdr:cNvPr>
          <xdr:cNvSpPr>
            <a:spLocks noChangeArrowheads="1"/>
          </xdr:cNvSpPr>
        </xdr:nvSpPr>
        <xdr:spPr bwMode="auto">
          <a:xfrm>
            <a:off x="3364230" y="24003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10" name="Rectangle 309">
            <a:extLst>
              <a:ext uri="{FF2B5EF4-FFF2-40B4-BE49-F238E27FC236}">
                <a16:creationId xmlns:a16="http://schemas.microsoft.com/office/drawing/2014/main" xmlns="" id="{00000000-0008-0000-0900-000036010000}"/>
              </a:ext>
            </a:extLst>
          </xdr:cNvPr>
          <xdr:cNvSpPr>
            <a:spLocks noChangeArrowheads="1"/>
          </xdr:cNvSpPr>
        </xdr:nvSpPr>
        <xdr:spPr bwMode="auto">
          <a:xfrm>
            <a:off x="3409950" y="24142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11" name="Line 1249">
            <a:extLst>
              <a:ext uri="{FF2B5EF4-FFF2-40B4-BE49-F238E27FC236}">
                <a16:creationId xmlns:a16="http://schemas.microsoft.com/office/drawing/2014/main" xmlns="" id="{00000000-0008-0000-0900-000037010000}"/>
              </a:ext>
            </a:extLst>
          </xdr:cNvPr>
          <xdr:cNvCxnSpPr/>
        </xdr:nvCxnSpPr>
        <xdr:spPr bwMode="auto">
          <a:xfrm>
            <a:off x="4721860" y="34290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312" name="Freeform 1250">
            <a:extLst>
              <a:ext uri="{FF2B5EF4-FFF2-40B4-BE49-F238E27FC236}">
                <a16:creationId xmlns:a16="http://schemas.microsoft.com/office/drawing/2014/main" xmlns="" id="{00000000-0008-0000-0900-000038010000}"/>
              </a:ext>
            </a:extLst>
          </xdr:cNvPr>
          <xdr:cNvSpPr>
            <a:spLocks/>
          </xdr:cNvSpPr>
        </xdr:nvSpPr>
        <xdr:spPr bwMode="auto">
          <a:xfrm>
            <a:off x="0" y="308610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13" name="Rectangle 312">
            <a:extLst>
              <a:ext uri="{FF2B5EF4-FFF2-40B4-BE49-F238E27FC236}">
                <a16:creationId xmlns:a16="http://schemas.microsoft.com/office/drawing/2014/main" xmlns="" id="{00000000-0008-0000-0900-000039010000}"/>
              </a:ext>
            </a:extLst>
          </xdr:cNvPr>
          <xdr:cNvSpPr>
            <a:spLocks noChangeArrowheads="1"/>
          </xdr:cNvSpPr>
        </xdr:nvSpPr>
        <xdr:spPr bwMode="auto">
          <a:xfrm>
            <a:off x="652780" y="308673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4" name="Rectangle 313">
            <a:extLst>
              <a:ext uri="{FF2B5EF4-FFF2-40B4-BE49-F238E27FC236}">
                <a16:creationId xmlns:a16="http://schemas.microsoft.com/office/drawing/2014/main" xmlns="" id="{00000000-0008-0000-0900-00003A010000}"/>
              </a:ext>
            </a:extLst>
          </xdr:cNvPr>
          <xdr:cNvSpPr>
            <a:spLocks noChangeArrowheads="1"/>
          </xdr:cNvSpPr>
        </xdr:nvSpPr>
        <xdr:spPr bwMode="auto">
          <a:xfrm>
            <a:off x="114300" y="30861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5" name="Freeform 1253">
            <a:extLst>
              <a:ext uri="{FF2B5EF4-FFF2-40B4-BE49-F238E27FC236}">
                <a16:creationId xmlns:a16="http://schemas.microsoft.com/office/drawing/2014/main" xmlns="" id="{00000000-0008-0000-0900-00003B010000}"/>
              </a:ext>
            </a:extLst>
          </xdr:cNvPr>
          <xdr:cNvSpPr>
            <a:spLocks/>
          </xdr:cNvSpPr>
        </xdr:nvSpPr>
        <xdr:spPr bwMode="auto">
          <a:xfrm>
            <a:off x="2971800" y="27940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316" name="Line 1254">
            <a:extLst>
              <a:ext uri="{FF2B5EF4-FFF2-40B4-BE49-F238E27FC236}">
                <a16:creationId xmlns:a16="http://schemas.microsoft.com/office/drawing/2014/main" xmlns="" id="{00000000-0008-0000-0900-00003C010000}"/>
              </a:ext>
            </a:extLst>
          </xdr:cNvPr>
          <xdr:cNvCxnSpPr/>
        </xdr:nvCxnSpPr>
        <xdr:spPr bwMode="auto">
          <a:xfrm>
            <a:off x="3200400" y="4572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317" name="Rectangle 316">
            <a:extLst>
              <a:ext uri="{FF2B5EF4-FFF2-40B4-BE49-F238E27FC236}">
                <a16:creationId xmlns:a16="http://schemas.microsoft.com/office/drawing/2014/main" xmlns="" id="{00000000-0008-0000-0900-00003D010000}"/>
              </a:ext>
            </a:extLst>
          </xdr:cNvPr>
          <xdr:cNvSpPr>
            <a:spLocks noChangeArrowheads="1"/>
          </xdr:cNvSpPr>
        </xdr:nvSpPr>
        <xdr:spPr bwMode="auto">
          <a:xfrm>
            <a:off x="3086100" y="27940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20</xdr:col>
      <xdr:colOff>114300</xdr:colOff>
      <xdr:row>228</xdr:row>
      <xdr:rowOff>114300</xdr:rowOff>
    </xdr:from>
    <xdr:to>
      <xdr:col>28</xdr:col>
      <xdr:colOff>497840</xdr:colOff>
      <xdr:row>245</xdr:row>
      <xdr:rowOff>53340</xdr:rowOff>
    </xdr:to>
    <xdr:grpSp>
      <xdr:nvGrpSpPr>
        <xdr:cNvPr id="318" name="Zone de dessin 1544">
          <a:extLst>
            <a:ext uri="{FF2B5EF4-FFF2-40B4-BE49-F238E27FC236}">
              <a16:creationId xmlns:a16="http://schemas.microsoft.com/office/drawing/2014/main" xmlns="" id="{00000000-0008-0000-0900-00003E010000}"/>
            </a:ext>
          </a:extLst>
        </xdr:cNvPr>
        <xdr:cNvGrpSpPr/>
      </xdr:nvGrpSpPr>
      <xdr:grpSpPr>
        <a:xfrm>
          <a:off x="18032506" y="41127829"/>
          <a:ext cx="6479540" cy="3188746"/>
          <a:chOff x="0" y="0"/>
          <a:chExt cx="6479540" cy="3301365"/>
        </a:xfrm>
      </xdr:grpSpPr>
      <xdr:sp macro="" textlink="">
        <xdr:nvSpPr>
          <xdr:cNvPr id="319" name="Rectangle 318">
            <a:extLst>
              <a:ext uri="{FF2B5EF4-FFF2-40B4-BE49-F238E27FC236}">
                <a16:creationId xmlns:a16="http://schemas.microsoft.com/office/drawing/2014/main" xmlns="" id="{00000000-0008-0000-0900-00003F010000}"/>
              </a:ext>
            </a:extLst>
          </xdr:cNvPr>
          <xdr:cNvSpPr/>
        </xdr:nvSpPr>
        <xdr:spPr>
          <a:xfrm>
            <a:off x="0" y="0"/>
            <a:ext cx="6479540" cy="3301365"/>
          </a:xfrm>
          <a:prstGeom prst="rect">
            <a:avLst/>
          </a:prstGeom>
          <a:noFill/>
          <a:ln>
            <a:noFill/>
          </a:ln>
        </xdr:spPr>
      </xdr:sp>
      <xdr:sp macro="" textlink="">
        <xdr:nvSpPr>
          <xdr:cNvPr id="320" name="AutoShape 1546">
            <a:extLst>
              <a:ext uri="{FF2B5EF4-FFF2-40B4-BE49-F238E27FC236}">
                <a16:creationId xmlns:a16="http://schemas.microsoft.com/office/drawing/2014/main" xmlns="" id="{00000000-0008-0000-0900-000040010000}"/>
              </a:ext>
            </a:extLst>
          </xdr:cNvPr>
          <xdr:cNvSpPr>
            <a:spLocks noChangeAspect="1" noChangeArrowheads="1"/>
          </xdr:cNvSpPr>
        </xdr:nvSpPr>
        <xdr:spPr bwMode="auto">
          <a:xfrm>
            <a:off x="0" y="35179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1" name="Rectangle 320">
            <a:extLst>
              <a:ext uri="{FF2B5EF4-FFF2-40B4-BE49-F238E27FC236}">
                <a16:creationId xmlns:a16="http://schemas.microsoft.com/office/drawing/2014/main" xmlns="" id="{00000000-0008-0000-0900-000041010000}"/>
              </a:ext>
            </a:extLst>
          </xdr:cNvPr>
          <xdr:cNvSpPr>
            <a:spLocks noChangeArrowheads="1"/>
          </xdr:cNvSpPr>
        </xdr:nvSpPr>
        <xdr:spPr bwMode="auto">
          <a:xfrm>
            <a:off x="2595245" y="34290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2" name="Rectangle 321">
            <a:extLst>
              <a:ext uri="{FF2B5EF4-FFF2-40B4-BE49-F238E27FC236}">
                <a16:creationId xmlns:a16="http://schemas.microsoft.com/office/drawing/2014/main" xmlns="" id="{00000000-0008-0000-0900-000042010000}"/>
              </a:ext>
            </a:extLst>
          </xdr:cNvPr>
          <xdr:cNvSpPr>
            <a:spLocks noChangeArrowheads="1"/>
          </xdr:cNvSpPr>
        </xdr:nvSpPr>
        <xdr:spPr bwMode="auto">
          <a:xfrm>
            <a:off x="2595245" y="34290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23" name="Rectangle 322">
            <a:extLst>
              <a:ext uri="{FF2B5EF4-FFF2-40B4-BE49-F238E27FC236}">
                <a16:creationId xmlns:a16="http://schemas.microsoft.com/office/drawing/2014/main" xmlns="" id="{00000000-0008-0000-0900-000043010000}"/>
              </a:ext>
            </a:extLst>
          </xdr:cNvPr>
          <xdr:cNvSpPr>
            <a:spLocks noChangeArrowheads="1"/>
          </xdr:cNvSpPr>
        </xdr:nvSpPr>
        <xdr:spPr bwMode="auto">
          <a:xfrm>
            <a:off x="2819400" y="75184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21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24" name="Line 1550">
            <a:extLst>
              <a:ext uri="{FF2B5EF4-FFF2-40B4-BE49-F238E27FC236}">
                <a16:creationId xmlns:a16="http://schemas.microsoft.com/office/drawing/2014/main" xmlns="" id="{00000000-0008-0000-0900-000044010000}"/>
              </a:ext>
            </a:extLst>
          </xdr:cNvPr>
          <xdr:cNvCxnSpPr/>
        </xdr:nvCxnSpPr>
        <xdr:spPr bwMode="auto">
          <a:xfrm>
            <a:off x="3829050" y="49593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5" name="Line 1551">
            <a:extLst>
              <a:ext uri="{FF2B5EF4-FFF2-40B4-BE49-F238E27FC236}">
                <a16:creationId xmlns:a16="http://schemas.microsoft.com/office/drawing/2014/main" xmlns="" id="{00000000-0008-0000-0900-000045010000}"/>
              </a:ext>
            </a:extLst>
          </xdr:cNvPr>
          <xdr:cNvCxnSpPr/>
        </xdr:nvCxnSpPr>
        <xdr:spPr bwMode="auto">
          <a:xfrm flipH="1">
            <a:off x="3909060" y="126619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6" name="Freeform 1552">
            <a:extLst>
              <a:ext uri="{FF2B5EF4-FFF2-40B4-BE49-F238E27FC236}">
                <a16:creationId xmlns:a16="http://schemas.microsoft.com/office/drawing/2014/main" xmlns="" id="{00000000-0008-0000-0900-000046010000}"/>
              </a:ext>
            </a:extLst>
          </xdr:cNvPr>
          <xdr:cNvSpPr>
            <a:spLocks/>
          </xdr:cNvSpPr>
        </xdr:nvSpPr>
        <xdr:spPr bwMode="auto">
          <a:xfrm>
            <a:off x="3829050" y="122047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7" name="Line 1553">
            <a:extLst>
              <a:ext uri="{FF2B5EF4-FFF2-40B4-BE49-F238E27FC236}">
                <a16:creationId xmlns:a16="http://schemas.microsoft.com/office/drawing/2014/main" xmlns="" id="{00000000-0008-0000-0900-000047010000}"/>
              </a:ext>
            </a:extLst>
          </xdr:cNvPr>
          <xdr:cNvCxnSpPr/>
        </xdr:nvCxnSpPr>
        <xdr:spPr bwMode="auto">
          <a:xfrm flipH="1">
            <a:off x="3909060" y="24968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8" name="Freeform 1554">
            <a:extLst>
              <a:ext uri="{FF2B5EF4-FFF2-40B4-BE49-F238E27FC236}">
                <a16:creationId xmlns:a16="http://schemas.microsoft.com/office/drawing/2014/main" xmlns="" id="{00000000-0008-0000-0900-000048010000}"/>
              </a:ext>
            </a:extLst>
          </xdr:cNvPr>
          <xdr:cNvSpPr>
            <a:spLocks/>
          </xdr:cNvSpPr>
        </xdr:nvSpPr>
        <xdr:spPr bwMode="auto">
          <a:xfrm>
            <a:off x="3829050" y="245046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9" name="Line 1555">
            <a:extLst>
              <a:ext uri="{FF2B5EF4-FFF2-40B4-BE49-F238E27FC236}">
                <a16:creationId xmlns:a16="http://schemas.microsoft.com/office/drawing/2014/main" xmlns="" id="{00000000-0008-0000-0900-000049010000}"/>
              </a:ext>
            </a:extLst>
          </xdr:cNvPr>
          <xdr:cNvCxnSpPr/>
        </xdr:nvCxnSpPr>
        <xdr:spPr bwMode="auto">
          <a:xfrm>
            <a:off x="3829050" y="172783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30" name="Line 1556">
            <a:extLst>
              <a:ext uri="{FF2B5EF4-FFF2-40B4-BE49-F238E27FC236}">
                <a16:creationId xmlns:a16="http://schemas.microsoft.com/office/drawing/2014/main" xmlns="" id="{00000000-0008-0000-0900-00004A010000}"/>
              </a:ext>
            </a:extLst>
          </xdr:cNvPr>
          <xdr:cNvCxnSpPr/>
        </xdr:nvCxnSpPr>
        <xdr:spPr bwMode="auto">
          <a:xfrm flipH="1">
            <a:off x="1094105" y="111188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31" name="Oval 1557">
            <a:extLst>
              <a:ext uri="{FF2B5EF4-FFF2-40B4-BE49-F238E27FC236}">
                <a16:creationId xmlns:a16="http://schemas.microsoft.com/office/drawing/2014/main" xmlns="" id="{00000000-0008-0000-0900-00004B010000}"/>
              </a:ext>
            </a:extLst>
          </xdr:cNvPr>
          <xdr:cNvSpPr>
            <a:spLocks noChangeArrowheads="1"/>
          </xdr:cNvSpPr>
        </xdr:nvSpPr>
        <xdr:spPr bwMode="auto">
          <a:xfrm>
            <a:off x="4895215" y="35560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32" name="Oval 1558">
            <a:extLst>
              <a:ext uri="{FF2B5EF4-FFF2-40B4-BE49-F238E27FC236}">
                <a16:creationId xmlns:a16="http://schemas.microsoft.com/office/drawing/2014/main" xmlns="" id="{00000000-0008-0000-0900-00004C010000}"/>
              </a:ext>
            </a:extLst>
          </xdr:cNvPr>
          <xdr:cNvSpPr>
            <a:spLocks noChangeArrowheads="1"/>
          </xdr:cNvSpPr>
        </xdr:nvSpPr>
        <xdr:spPr bwMode="auto">
          <a:xfrm>
            <a:off x="4895215" y="35560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3" name="Rectangle 332">
            <a:extLst>
              <a:ext uri="{FF2B5EF4-FFF2-40B4-BE49-F238E27FC236}">
                <a16:creationId xmlns:a16="http://schemas.microsoft.com/office/drawing/2014/main" xmlns="" id="{00000000-0008-0000-0900-00004D010000}"/>
              </a:ext>
            </a:extLst>
          </xdr:cNvPr>
          <xdr:cNvSpPr>
            <a:spLocks noChangeArrowheads="1"/>
          </xdr:cNvSpPr>
        </xdr:nvSpPr>
        <xdr:spPr bwMode="auto">
          <a:xfrm>
            <a:off x="4984750" y="39751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4" name="Rectangle 333">
            <a:extLst>
              <a:ext uri="{FF2B5EF4-FFF2-40B4-BE49-F238E27FC236}">
                <a16:creationId xmlns:a16="http://schemas.microsoft.com/office/drawing/2014/main" xmlns="" id="{00000000-0008-0000-0900-00004E010000}"/>
              </a:ext>
            </a:extLst>
          </xdr:cNvPr>
          <xdr:cNvSpPr>
            <a:spLocks noChangeArrowheads="1"/>
          </xdr:cNvSpPr>
        </xdr:nvSpPr>
        <xdr:spPr bwMode="auto">
          <a:xfrm>
            <a:off x="15240" y="95758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5" name="Rectangle 334">
            <a:extLst>
              <a:ext uri="{FF2B5EF4-FFF2-40B4-BE49-F238E27FC236}">
                <a16:creationId xmlns:a16="http://schemas.microsoft.com/office/drawing/2014/main" xmlns="" id="{00000000-0008-0000-0900-00004F010000}"/>
              </a:ext>
            </a:extLst>
          </xdr:cNvPr>
          <xdr:cNvSpPr>
            <a:spLocks noChangeArrowheads="1"/>
          </xdr:cNvSpPr>
        </xdr:nvSpPr>
        <xdr:spPr bwMode="auto">
          <a:xfrm>
            <a:off x="15240" y="95758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6" name="Rectangle 335">
            <a:extLst>
              <a:ext uri="{FF2B5EF4-FFF2-40B4-BE49-F238E27FC236}">
                <a16:creationId xmlns:a16="http://schemas.microsoft.com/office/drawing/2014/main" xmlns="" id="{00000000-0008-0000-0900-000050010000}"/>
              </a:ext>
            </a:extLst>
          </xdr:cNvPr>
          <xdr:cNvSpPr>
            <a:spLocks noChangeArrowheads="1"/>
          </xdr:cNvSpPr>
        </xdr:nvSpPr>
        <xdr:spPr bwMode="auto">
          <a:xfrm>
            <a:off x="187960" y="133858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7" name="Rectangle 336">
            <a:extLst>
              <a:ext uri="{FF2B5EF4-FFF2-40B4-BE49-F238E27FC236}">
                <a16:creationId xmlns:a16="http://schemas.microsoft.com/office/drawing/2014/main" xmlns="" id="{00000000-0008-0000-0900-000051010000}"/>
              </a:ext>
            </a:extLst>
          </xdr:cNvPr>
          <xdr:cNvSpPr>
            <a:spLocks noChangeArrowheads="1"/>
          </xdr:cNvSpPr>
        </xdr:nvSpPr>
        <xdr:spPr bwMode="auto">
          <a:xfrm>
            <a:off x="5386070" y="34290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8" name="Rectangle 337">
            <a:extLst>
              <a:ext uri="{FF2B5EF4-FFF2-40B4-BE49-F238E27FC236}">
                <a16:creationId xmlns:a16="http://schemas.microsoft.com/office/drawing/2014/main" xmlns="" id="{00000000-0008-0000-0900-000052010000}"/>
              </a:ext>
            </a:extLst>
          </xdr:cNvPr>
          <xdr:cNvSpPr>
            <a:spLocks noChangeArrowheads="1"/>
          </xdr:cNvSpPr>
        </xdr:nvSpPr>
        <xdr:spPr bwMode="auto">
          <a:xfrm>
            <a:off x="5386070" y="34290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9" name="Rectangle 338">
            <a:extLst>
              <a:ext uri="{FF2B5EF4-FFF2-40B4-BE49-F238E27FC236}">
                <a16:creationId xmlns:a16="http://schemas.microsoft.com/office/drawing/2014/main" xmlns="" id="{00000000-0008-0000-0900-000053010000}"/>
              </a:ext>
            </a:extLst>
          </xdr:cNvPr>
          <xdr:cNvSpPr>
            <a:spLocks noChangeArrowheads="1"/>
          </xdr:cNvSpPr>
        </xdr:nvSpPr>
        <xdr:spPr bwMode="auto">
          <a:xfrm>
            <a:off x="5768340" y="78295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40" name="Rectangle 339">
            <a:extLst>
              <a:ext uri="{FF2B5EF4-FFF2-40B4-BE49-F238E27FC236}">
                <a16:creationId xmlns:a16="http://schemas.microsoft.com/office/drawing/2014/main" xmlns="" id="{00000000-0008-0000-0900-000054010000}"/>
              </a:ext>
            </a:extLst>
          </xdr:cNvPr>
          <xdr:cNvSpPr>
            <a:spLocks noChangeArrowheads="1"/>
          </xdr:cNvSpPr>
        </xdr:nvSpPr>
        <xdr:spPr bwMode="auto">
          <a:xfrm>
            <a:off x="5386070" y="157353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1" name="Rectangle 340">
            <a:extLst>
              <a:ext uri="{FF2B5EF4-FFF2-40B4-BE49-F238E27FC236}">
                <a16:creationId xmlns:a16="http://schemas.microsoft.com/office/drawing/2014/main" xmlns="" id="{00000000-0008-0000-0900-000055010000}"/>
              </a:ext>
            </a:extLst>
          </xdr:cNvPr>
          <xdr:cNvSpPr>
            <a:spLocks noChangeArrowheads="1"/>
          </xdr:cNvSpPr>
        </xdr:nvSpPr>
        <xdr:spPr bwMode="auto">
          <a:xfrm>
            <a:off x="5386070" y="157353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2" name="Rectangle 341">
            <a:extLst>
              <a:ext uri="{FF2B5EF4-FFF2-40B4-BE49-F238E27FC236}">
                <a16:creationId xmlns:a16="http://schemas.microsoft.com/office/drawing/2014/main" xmlns="" id="{00000000-0008-0000-0900-000056010000}"/>
              </a:ext>
            </a:extLst>
          </xdr:cNvPr>
          <xdr:cNvSpPr>
            <a:spLocks noChangeArrowheads="1"/>
          </xdr:cNvSpPr>
        </xdr:nvSpPr>
        <xdr:spPr bwMode="auto">
          <a:xfrm>
            <a:off x="5438775" y="201168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43" name="Line 1569">
            <a:extLst>
              <a:ext uri="{FF2B5EF4-FFF2-40B4-BE49-F238E27FC236}">
                <a16:creationId xmlns:a16="http://schemas.microsoft.com/office/drawing/2014/main" xmlns="" id="{00000000-0008-0000-0900-000057010000}"/>
              </a:ext>
            </a:extLst>
          </xdr:cNvPr>
          <xdr:cNvCxnSpPr/>
        </xdr:nvCxnSpPr>
        <xdr:spPr bwMode="auto">
          <a:xfrm>
            <a:off x="1094105" y="188087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44" name="Freeform 1570">
            <a:extLst>
              <a:ext uri="{FF2B5EF4-FFF2-40B4-BE49-F238E27FC236}">
                <a16:creationId xmlns:a16="http://schemas.microsoft.com/office/drawing/2014/main" xmlns="" id="{00000000-0008-0000-0900-000058010000}"/>
              </a:ext>
            </a:extLst>
          </xdr:cNvPr>
          <xdr:cNvSpPr>
            <a:spLocks/>
          </xdr:cNvSpPr>
        </xdr:nvSpPr>
        <xdr:spPr bwMode="auto">
          <a:xfrm>
            <a:off x="2503805" y="183642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5" name="Oval 1571">
            <a:extLst>
              <a:ext uri="{FF2B5EF4-FFF2-40B4-BE49-F238E27FC236}">
                <a16:creationId xmlns:a16="http://schemas.microsoft.com/office/drawing/2014/main" xmlns="" id="{00000000-0008-0000-0900-000059010000}"/>
              </a:ext>
            </a:extLst>
          </xdr:cNvPr>
          <xdr:cNvSpPr>
            <a:spLocks noChangeArrowheads="1"/>
          </xdr:cNvSpPr>
        </xdr:nvSpPr>
        <xdr:spPr bwMode="auto">
          <a:xfrm>
            <a:off x="2009775" y="97282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6" name="Oval 1572">
            <a:extLst>
              <a:ext uri="{FF2B5EF4-FFF2-40B4-BE49-F238E27FC236}">
                <a16:creationId xmlns:a16="http://schemas.microsoft.com/office/drawing/2014/main" xmlns="" id="{00000000-0008-0000-0900-00005A010000}"/>
              </a:ext>
            </a:extLst>
          </xdr:cNvPr>
          <xdr:cNvSpPr>
            <a:spLocks noChangeArrowheads="1"/>
          </xdr:cNvSpPr>
        </xdr:nvSpPr>
        <xdr:spPr bwMode="auto">
          <a:xfrm>
            <a:off x="2009775" y="97282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7" name="Rectangle 346">
            <a:extLst>
              <a:ext uri="{FF2B5EF4-FFF2-40B4-BE49-F238E27FC236}">
                <a16:creationId xmlns:a16="http://schemas.microsoft.com/office/drawing/2014/main" xmlns="" id="{00000000-0008-0000-0900-00005B010000}"/>
              </a:ext>
            </a:extLst>
          </xdr:cNvPr>
          <xdr:cNvSpPr>
            <a:spLocks noChangeArrowheads="1"/>
          </xdr:cNvSpPr>
        </xdr:nvSpPr>
        <xdr:spPr bwMode="auto">
          <a:xfrm>
            <a:off x="2096770" y="101917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48" name="Oval 1574">
            <a:extLst>
              <a:ext uri="{FF2B5EF4-FFF2-40B4-BE49-F238E27FC236}">
                <a16:creationId xmlns:a16="http://schemas.microsoft.com/office/drawing/2014/main" xmlns="" id="{00000000-0008-0000-0900-00005C010000}"/>
              </a:ext>
            </a:extLst>
          </xdr:cNvPr>
          <xdr:cNvSpPr>
            <a:spLocks noChangeArrowheads="1"/>
          </xdr:cNvSpPr>
        </xdr:nvSpPr>
        <xdr:spPr bwMode="auto">
          <a:xfrm>
            <a:off x="4895215" y="158623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9" name="Oval 1575">
            <a:extLst>
              <a:ext uri="{FF2B5EF4-FFF2-40B4-BE49-F238E27FC236}">
                <a16:creationId xmlns:a16="http://schemas.microsoft.com/office/drawing/2014/main" xmlns="" id="{00000000-0008-0000-0900-00005D010000}"/>
              </a:ext>
            </a:extLst>
          </xdr:cNvPr>
          <xdr:cNvSpPr>
            <a:spLocks noChangeArrowheads="1"/>
          </xdr:cNvSpPr>
        </xdr:nvSpPr>
        <xdr:spPr bwMode="auto">
          <a:xfrm>
            <a:off x="4907915" y="158623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0" name="Rectangle 349">
            <a:extLst>
              <a:ext uri="{FF2B5EF4-FFF2-40B4-BE49-F238E27FC236}">
                <a16:creationId xmlns:a16="http://schemas.microsoft.com/office/drawing/2014/main" xmlns="" id="{00000000-0008-0000-0900-00005E010000}"/>
              </a:ext>
            </a:extLst>
          </xdr:cNvPr>
          <xdr:cNvSpPr>
            <a:spLocks noChangeArrowheads="1"/>
          </xdr:cNvSpPr>
        </xdr:nvSpPr>
        <xdr:spPr bwMode="auto">
          <a:xfrm>
            <a:off x="4984750" y="162687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1" name="Freeform 1577">
            <a:extLst>
              <a:ext uri="{FF2B5EF4-FFF2-40B4-BE49-F238E27FC236}">
                <a16:creationId xmlns:a16="http://schemas.microsoft.com/office/drawing/2014/main" xmlns="" id="{00000000-0008-0000-0900-00005F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2" name="Freeform 1578">
            <a:extLst>
              <a:ext uri="{FF2B5EF4-FFF2-40B4-BE49-F238E27FC236}">
                <a16:creationId xmlns:a16="http://schemas.microsoft.com/office/drawing/2014/main" xmlns="" id="{00000000-0008-0000-0900-000060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3" name="Rectangle 352">
            <a:extLst>
              <a:ext uri="{FF2B5EF4-FFF2-40B4-BE49-F238E27FC236}">
                <a16:creationId xmlns:a16="http://schemas.microsoft.com/office/drawing/2014/main" xmlns="" id="{00000000-0008-0000-0900-000061010000}"/>
              </a:ext>
            </a:extLst>
          </xdr:cNvPr>
          <xdr:cNvSpPr>
            <a:spLocks noChangeArrowheads="1"/>
          </xdr:cNvSpPr>
        </xdr:nvSpPr>
        <xdr:spPr bwMode="auto">
          <a:xfrm>
            <a:off x="1280795" y="1443990"/>
            <a:ext cx="3194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4" name="Freeform 1580">
            <a:extLst>
              <a:ext uri="{FF2B5EF4-FFF2-40B4-BE49-F238E27FC236}">
                <a16:creationId xmlns:a16="http://schemas.microsoft.com/office/drawing/2014/main" xmlns="" id="{00000000-0008-0000-0900-000062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5" name="Freeform 1581">
            <a:extLst>
              <a:ext uri="{FF2B5EF4-FFF2-40B4-BE49-F238E27FC236}">
                <a16:creationId xmlns:a16="http://schemas.microsoft.com/office/drawing/2014/main" xmlns="" id="{00000000-0008-0000-0900-000063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6" name="Rectangle 355">
            <a:extLst>
              <a:ext uri="{FF2B5EF4-FFF2-40B4-BE49-F238E27FC236}">
                <a16:creationId xmlns:a16="http://schemas.microsoft.com/office/drawing/2014/main" xmlns="" id="{00000000-0008-0000-0900-000064010000}"/>
              </a:ext>
            </a:extLst>
          </xdr:cNvPr>
          <xdr:cNvSpPr>
            <a:spLocks noChangeArrowheads="1"/>
          </xdr:cNvSpPr>
        </xdr:nvSpPr>
        <xdr:spPr bwMode="auto">
          <a:xfrm>
            <a:off x="4182745" y="2022475"/>
            <a:ext cx="358775" cy="15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7" name="Freeform 1583">
            <a:extLst>
              <a:ext uri="{FF2B5EF4-FFF2-40B4-BE49-F238E27FC236}">
                <a16:creationId xmlns:a16="http://schemas.microsoft.com/office/drawing/2014/main" xmlns="" id="{00000000-0008-0000-0900-000065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8" name="Freeform 1584">
            <a:extLst>
              <a:ext uri="{FF2B5EF4-FFF2-40B4-BE49-F238E27FC236}">
                <a16:creationId xmlns:a16="http://schemas.microsoft.com/office/drawing/2014/main" xmlns="" id="{00000000-0008-0000-0900-000066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9" name="Rectangle 358">
            <a:extLst>
              <a:ext uri="{FF2B5EF4-FFF2-40B4-BE49-F238E27FC236}">
                <a16:creationId xmlns:a16="http://schemas.microsoft.com/office/drawing/2014/main" xmlns="" id="{00000000-0008-0000-0900-000067010000}"/>
              </a:ext>
            </a:extLst>
          </xdr:cNvPr>
          <xdr:cNvSpPr>
            <a:spLocks noChangeArrowheads="1"/>
          </xdr:cNvSpPr>
        </xdr:nvSpPr>
        <xdr:spPr bwMode="auto">
          <a:xfrm>
            <a:off x="4182745" y="808990"/>
            <a:ext cx="374015"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60" name="Oval 1586">
            <a:extLst>
              <a:ext uri="{FF2B5EF4-FFF2-40B4-BE49-F238E27FC236}">
                <a16:creationId xmlns:a16="http://schemas.microsoft.com/office/drawing/2014/main" xmlns="" id="{00000000-0008-0000-0900-000068010000}"/>
              </a:ext>
            </a:extLst>
          </xdr:cNvPr>
          <xdr:cNvSpPr>
            <a:spLocks noChangeArrowheads="1"/>
          </xdr:cNvSpPr>
        </xdr:nvSpPr>
        <xdr:spPr bwMode="auto">
          <a:xfrm>
            <a:off x="3992880" y="57340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61" name="Oval 1587">
            <a:extLst>
              <a:ext uri="{FF2B5EF4-FFF2-40B4-BE49-F238E27FC236}">
                <a16:creationId xmlns:a16="http://schemas.microsoft.com/office/drawing/2014/main" xmlns="" id="{00000000-0008-0000-0900-000069010000}"/>
              </a:ext>
            </a:extLst>
          </xdr:cNvPr>
          <xdr:cNvSpPr>
            <a:spLocks noChangeArrowheads="1"/>
          </xdr:cNvSpPr>
        </xdr:nvSpPr>
        <xdr:spPr bwMode="auto">
          <a:xfrm>
            <a:off x="3992880" y="57340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62" name="Rectangle 361">
            <a:extLst>
              <a:ext uri="{FF2B5EF4-FFF2-40B4-BE49-F238E27FC236}">
                <a16:creationId xmlns:a16="http://schemas.microsoft.com/office/drawing/2014/main" xmlns="" id="{00000000-0008-0000-0900-00006A010000}"/>
              </a:ext>
            </a:extLst>
          </xdr:cNvPr>
          <xdr:cNvSpPr>
            <a:spLocks noChangeArrowheads="1"/>
          </xdr:cNvSpPr>
        </xdr:nvSpPr>
        <xdr:spPr bwMode="auto">
          <a:xfrm>
            <a:off x="4036060" y="58801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63" name="Line 1589">
            <a:extLst>
              <a:ext uri="{FF2B5EF4-FFF2-40B4-BE49-F238E27FC236}">
                <a16:creationId xmlns:a16="http://schemas.microsoft.com/office/drawing/2014/main" xmlns="" id="{00000000-0008-0000-0900-00006B010000}"/>
              </a:ext>
            </a:extLst>
          </xdr:cNvPr>
          <xdr:cNvCxnSpPr/>
        </xdr:nvCxnSpPr>
        <xdr:spPr bwMode="auto">
          <a:xfrm flipV="1">
            <a:off x="4300855" y="49593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4" name="Line 1590">
            <a:extLst>
              <a:ext uri="{FF2B5EF4-FFF2-40B4-BE49-F238E27FC236}">
                <a16:creationId xmlns:a16="http://schemas.microsoft.com/office/drawing/2014/main" xmlns="" id="{00000000-0008-0000-0900-00006C010000}"/>
              </a:ext>
            </a:extLst>
          </xdr:cNvPr>
          <xdr:cNvCxnSpPr/>
        </xdr:nvCxnSpPr>
        <xdr:spPr bwMode="auto">
          <a:xfrm>
            <a:off x="4300855" y="97091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5" name="Line 1591">
            <a:extLst>
              <a:ext uri="{FF2B5EF4-FFF2-40B4-BE49-F238E27FC236}">
                <a16:creationId xmlns:a16="http://schemas.microsoft.com/office/drawing/2014/main" xmlns="" id="{00000000-0008-0000-0900-00006D010000}"/>
              </a:ext>
            </a:extLst>
          </xdr:cNvPr>
          <xdr:cNvCxnSpPr/>
        </xdr:nvCxnSpPr>
        <xdr:spPr bwMode="auto">
          <a:xfrm>
            <a:off x="4300855" y="172783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6" name="Line 1592">
            <a:extLst>
              <a:ext uri="{FF2B5EF4-FFF2-40B4-BE49-F238E27FC236}">
                <a16:creationId xmlns:a16="http://schemas.microsoft.com/office/drawing/2014/main" xmlns="" id="{00000000-0008-0000-0900-00006E010000}"/>
              </a:ext>
            </a:extLst>
          </xdr:cNvPr>
          <xdr:cNvCxnSpPr/>
        </xdr:nvCxnSpPr>
        <xdr:spPr bwMode="auto">
          <a:xfrm>
            <a:off x="4300855" y="220027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7" name="Line 1593">
            <a:extLst>
              <a:ext uri="{FF2B5EF4-FFF2-40B4-BE49-F238E27FC236}">
                <a16:creationId xmlns:a16="http://schemas.microsoft.com/office/drawing/2014/main" xmlns="" id="{00000000-0008-0000-0900-00006F010000}"/>
              </a:ext>
            </a:extLst>
          </xdr:cNvPr>
          <xdr:cNvCxnSpPr/>
        </xdr:nvCxnSpPr>
        <xdr:spPr bwMode="auto">
          <a:xfrm flipV="1">
            <a:off x="1402715" y="158623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8" name="Line 1594">
            <a:extLst>
              <a:ext uri="{FF2B5EF4-FFF2-40B4-BE49-F238E27FC236}">
                <a16:creationId xmlns:a16="http://schemas.microsoft.com/office/drawing/2014/main" xmlns="" id="{00000000-0008-0000-0900-000070010000}"/>
              </a:ext>
            </a:extLst>
          </xdr:cNvPr>
          <xdr:cNvCxnSpPr/>
        </xdr:nvCxnSpPr>
        <xdr:spPr bwMode="auto">
          <a:xfrm flipV="1">
            <a:off x="1402715" y="111188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9" name="Line 1595">
            <a:extLst>
              <a:ext uri="{FF2B5EF4-FFF2-40B4-BE49-F238E27FC236}">
                <a16:creationId xmlns:a16="http://schemas.microsoft.com/office/drawing/2014/main" xmlns="" id="{00000000-0008-0000-0900-000071010000}"/>
              </a:ext>
            </a:extLst>
          </xdr:cNvPr>
          <xdr:cNvCxnSpPr/>
        </xdr:nvCxnSpPr>
        <xdr:spPr bwMode="auto">
          <a:xfrm flipH="1">
            <a:off x="4154171" y="234315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0" name="Line 1596">
            <a:extLst>
              <a:ext uri="{FF2B5EF4-FFF2-40B4-BE49-F238E27FC236}">
                <a16:creationId xmlns:a16="http://schemas.microsoft.com/office/drawing/2014/main" xmlns="" id="{00000000-0008-0000-0900-000072010000}"/>
              </a:ext>
            </a:extLst>
          </xdr:cNvPr>
          <xdr:cNvCxnSpPr/>
        </xdr:nvCxnSpPr>
        <xdr:spPr bwMode="auto">
          <a:xfrm flipH="1">
            <a:off x="4161791" y="188087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1" name="Line 1597">
            <a:extLst>
              <a:ext uri="{FF2B5EF4-FFF2-40B4-BE49-F238E27FC236}">
                <a16:creationId xmlns:a16="http://schemas.microsoft.com/office/drawing/2014/main" xmlns="" id="{00000000-0008-0000-0900-000073010000}"/>
              </a:ext>
            </a:extLst>
          </xdr:cNvPr>
          <xdr:cNvCxnSpPr/>
        </xdr:nvCxnSpPr>
        <xdr:spPr bwMode="auto">
          <a:xfrm flipH="1">
            <a:off x="4146551" y="111188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2" name="Line 1598">
            <a:extLst>
              <a:ext uri="{FF2B5EF4-FFF2-40B4-BE49-F238E27FC236}">
                <a16:creationId xmlns:a16="http://schemas.microsoft.com/office/drawing/2014/main" xmlns="" id="{00000000-0008-0000-0900-000074010000}"/>
              </a:ext>
            </a:extLst>
          </xdr:cNvPr>
          <xdr:cNvCxnSpPr/>
        </xdr:nvCxnSpPr>
        <xdr:spPr bwMode="auto">
          <a:xfrm flipH="1">
            <a:off x="4161791" y="64960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3" name="Line 1599">
            <a:extLst>
              <a:ext uri="{FF2B5EF4-FFF2-40B4-BE49-F238E27FC236}">
                <a16:creationId xmlns:a16="http://schemas.microsoft.com/office/drawing/2014/main" xmlns="" id="{00000000-0008-0000-0900-000075010000}"/>
              </a:ext>
            </a:extLst>
          </xdr:cNvPr>
          <xdr:cNvCxnSpPr/>
        </xdr:nvCxnSpPr>
        <xdr:spPr bwMode="auto">
          <a:xfrm>
            <a:off x="1402715" y="126619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4" name="Line 1600">
            <a:extLst>
              <a:ext uri="{FF2B5EF4-FFF2-40B4-BE49-F238E27FC236}">
                <a16:creationId xmlns:a16="http://schemas.microsoft.com/office/drawing/2014/main" xmlns="" id="{00000000-0008-0000-0900-000076010000}"/>
              </a:ext>
            </a:extLst>
          </xdr:cNvPr>
          <xdr:cNvCxnSpPr/>
        </xdr:nvCxnSpPr>
        <xdr:spPr bwMode="auto">
          <a:xfrm>
            <a:off x="1402715" y="172783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375" name="Oval 1601">
            <a:extLst>
              <a:ext uri="{FF2B5EF4-FFF2-40B4-BE49-F238E27FC236}">
                <a16:creationId xmlns:a16="http://schemas.microsoft.com/office/drawing/2014/main" xmlns="" id="{00000000-0008-0000-0900-000077010000}"/>
              </a:ext>
            </a:extLst>
          </xdr:cNvPr>
          <xdr:cNvSpPr>
            <a:spLocks noChangeArrowheads="1"/>
          </xdr:cNvSpPr>
        </xdr:nvSpPr>
        <xdr:spPr bwMode="auto">
          <a:xfrm>
            <a:off x="3992880" y="103505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6" name="Oval 1602">
            <a:extLst>
              <a:ext uri="{FF2B5EF4-FFF2-40B4-BE49-F238E27FC236}">
                <a16:creationId xmlns:a16="http://schemas.microsoft.com/office/drawing/2014/main" xmlns="" id="{00000000-0008-0000-0900-000078010000}"/>
              </a:ext>
            </a:extLst>
          </xdr:cNvPr>
          <xdr:cNvSpPr>
            <a:spLocks noChangeArrowheads="1"/>
          </xdr:cNvSpPr>
        </xdr:nvSpPr>
        <xdr:spPr bwMode="auto">
          <a:xfrm>
            <a:off x="3992880" y="103505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77" name="Rectangle 376">
            <a:extLst>
              <a:ext uri="{FF2B5EF4-FFF2-40B4-BE49-F238E27FC236}">
                <a16:creationId xmlns:a16="http://schemas.microsoft.com/office/drawing/2014/main" xmlns="" id="{00000000-0008-0000-0900-000079010000}"/>
              </a:ext>
            </a:extLst>
          </xdr:cNvPr>
          <xdr:cNvSpPr>
            <a:spLocks noChangeArrowheads="1"/>
          </xdr:cNvSpPr>
        </xdr:nvSpPr>
        <xdr:spPr bwMode="auto">
          <a:xfrm>
            <a:off x="4036060" y="10426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78" name="Oval 1604">
            <a:extLst>
              <a:ext uri="{FF2B5EF4-FFF2-40B4-BE49-F238E27FC236}">
                <a16:creationId xmlns:a16="http://schemas.microsoft.com/office/drawing/2014/main" xmlns="" id="{00000000-0008-0000-0900-00007A010000}"/>
              </a:ext>
            </a:extLst>
          </xdr:cNvPr>
          <xdr:cNvSpPr>
            <a:spLocks noChangeArrowheads="1"/>
          </xdr:cNvSpPr>
        </xdr:nvSpPr>
        <xdr:spPr bwMode="auto">
          <a:xfrm>
            <a:off x="1556385" y="164973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9" name="Oval 1605">
            <a:extLst>
              <a:ext uri="{FF2B5EF4-FFF2-40B4-BE49-F238E27FC236}">
                <a16:creationId xmlns:a16="http://schemas.microsoft.com/office/drawing/2014/main" xmlns="" id="{00000000-0008-0000-0900-00007B010000}"/>
              </a:ext>
            </a:extLst>
          </xdr:cNvPr>
          <xdr:cNvSpPr>
            <a:spLocks noChangeArrowheads="1"/>
          </xdr:cNvSpPr>
        </xdr:nvSpPr>
        <xdr:spPr bwMode="auto">
          <a:xfrm>
            <a:off x="1556385" y="164973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0" name="Rectangle 379">
            <a:extLst>
              <a:ext uri="{FF2B5EF4-FFF2-40B4-BE49-F238E27FC236}">
                <a16:creationId xmlns:a16="http://schemas.microsoft.com/office/drawing/2014/main" xmlns="" id="{00000000-0008-0000-0900-00007C010000}"/>
              </a:ext>
            </a:extLst>
          </xdr:cNvPr>
          <xdr:cNvSpPr>
            <a:spLocks noChangeArrowheads="1"/>
          </xdr:cNvSpPr>
        </xdr:nvSpPr>
        <xdr:spPr bwMode="auto">
          <a:xfrm>
            <a:off x="1598295" y="166306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1" name="Oval 1607">
            <a:extLst>
              <a:ext uri="{FF2B5EF4-FFF2-40B4-BE49-F238E27FC236}">
                <a16:creationId xmlns:a16="http://schemas.microsoft.com/office/drawing/2014/main" xmlns="" id="{00000000-0008-0000-0900-00007D010000}"/>
              </a:ext>
            </a:extLst>
          </xdr:cNvPr>
          <xdr:cNvSpPr>
            <a:spLocks noChangeArrowheads="1"/>
          </xdr:cNvSpPr>
        </xdr:nvSpPr>
        <xdr:spPr bwMode="auto">
          <a:xfrm>
            <a:off x="1556385" y="118808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2" name="Oval 1608">
            <a:extLst>
              <a:ext uri="{FF2B5EF4-FFF2-40B4-BE49-F238E27FC236}">
                <a16:creationId xmlns:a16="http://schemas.microsoft.com/office/drawing/2014/main" xmlns="" id="{00000000-0008-0000-0900-00007E010000}"/>
              </a:ext>
            </a:extLst>
          </xdr:cNvPr>
          <xdr:cNvSpPr>
            <a:spLocks noChangeArrowheads="1"/>
          </xdr:cNvSpPr>
        </xdr:nvSpPr>
        <xdr:spPr bwMode="auto">
          <a:xfrm>
            <a:off x="1556385" y="118808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3" name="Rectangle 382">
            <a:extLst>
              <a:ext uri="{FF2B5EF4-FFF2-40B4-BE49-F238E27FC236}">
                <a16:creationId xmlns:a16="http://schemas.microsoft.com/office/drawing/2014/main" xmlns="" id="{00000000-0008-0000-0900-00007F010000}"/>
              </a:ext>
            </a:extLst>
          </xdr:cNvPr>
          <xdr:cNvSpPr>
            <a:spLocks noChangeArrowheads="1"/>
          </xdr:cNvSpPr>
        </xdr:nvSpPr>
        <xdr:spPr bwMode="auto">
          <a:xfrm>
            <a:off x="1598295" y="119824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4" name="Oval 1610">
            <a:extLst>
              <a:ext uri="{FF2B5EF4-FFF2-40B4-BE49-F238E27FC236}">
                <a16:creationId xmlns:a16="http://schemas.microsoft.com/office/drawing/2014/main" xmlns="" id="{00000000-0008-0000-0900-000080010000}"/>
              </a:ext>
            </a:extLst>
          </xdr:cNvPr>
          <xdr:cNvSpPr>
            <a:spLocks noChangeArrowheads="1"/>
          </xdr:cNvSpPr>
        </xdr:nvSpPr>
        <xdr:spPr bwMode="auto">
          <a:xfrm>
            <a:off x="3992880" y="22663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5" name="Oval 1611">
            <a:extLst>
              <a:ext uri="{FF2B5EF4-FFF2-40B4-BE49-F238E27FC236}">
                <a16:creationId xmlns:a16="http://schemas.microsoft.com/office/drawing/2014/main" xmlns="" id="{00000000-0008-0000-0900-000081010000}"/>
              </a:ext>
            </a:extLst>
          </xdr:cNvPr>
          <xdr:cNvSpPr>
            <a:spLocks noChangeArrowheads="1"/>
          </xdr:cNvSpPr>
        </xdr:nvSpPr>
        <xdr:spPr bwMode="auto">
          <a:xfrm>
            <a:off x="3992880" y="22663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6" name="Rectangle 385">
            <a:extLst>
              <a:ext uri="{FF2B5EF4-FFF2-40B4-BE49-F238E27FC236}">
                <a16:creationId xmlns:a16="http://schemas.microsoft.com/office/drawing/2014/main" xmlns="" id="{00000000-0008-0000-0900-000082010000}"/>
              </a:ext>
            </a:extLst>
          </xdr:cNvPr>
          <xdr:cNvSpPr>
            <a:spLocks noChangeArrowheads="1"/>
          </xdr:cNvSpPr>
        </xdr:nvSpPr>
        <xdr:spPr bwMode="auto">
          <a:xfrm>
            <a:off x="4036060" y="227203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7" name="Oval 1613">
            <a:extLst>
              <a:ext uri="{FF2B5EF4-FFF2-40B4-BE49-F238E27FC236}">
                <a16:creationId xmlns:a16="http://schemas.microsoft.com/office/drawing/2014/main" xmlns="" id="{00000000-0008-0000-0900-000083010000}"/>
              </a:ext>
            </a:extLst>
          </xdr:cNvPr>
          <xdr:cNvSpPr>
            <a:spLocks noChangeArrowheads="1"/>
          </xdr:cNvSpPr>
        </xdr:nvSpPr>
        <xdr:spPr bwMode="auto">
          <a:xfrm>
            <a:off x="3992880" y="180467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8" name="Oval 1614">
            <a:extLst>
              <a:ext uri="{FF2B5EF4-FFF2-40B4-BE49-F238E27FC236}">
                <a16:creationId xmlns:a16="http://schemas.microsoft.com/office/drawing/2014/main" xmlns="" id="{00000000-0008-0000-0900-000084010000}"/>
              </a:ext>
            </a:extLst>
          </xdr:cNvPr>
          <xdr:cNvSpPr>
            <a:spLocks noChangeArrowheads="1"/>
          </xdr:cNvSpPr>
        </xdr:nvSpPr>
        <xdr:spPr bwMode="auto">
          <a:xfrm>
            <a:off x="3992880" y="180467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9" name="Rectangle 388">
            <a:extLst>
              <a:ext uri="{FF2B5EF4-FFF2-40B4-BE49-F238E27FC236}">
                <a16:creationId xmlns:a16="http://schemas.microsoft.com/office/drawing/2014/main" xmlns="" id="{00000000-0008-0000-0900-000085010000}"/>
              </a:ext>
            </a:extLst>
          </xdr:cNvPr>
          <xdr:cNvSpPr>
            <a:spLocks noChangeArrowheads="1"/>
          </xdr:cNvSpPr>
        </xdr:nvSpPr>
        <xdr:spPr bwMode="auto">
          <a:xfrm>
            <a:off x="4036060" y="18173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0" name="Freeform 1616">
            <a:extLst>
              <a:ext uri="{FF2B5EF4-FFF2-40B4-BE49-F238E27FC236}">
                <a16:creationId xmlns:a16="http://schemas.microsoft.com/office/drawing/2014/main" xmlns="" id="{00000000-0008-0000-0900-000086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1" name="Freeform 1617">
            <a:extLst>
              <a:ext uri="{FF2B5EF4-FFF2-40B4-BE49-F238E27FC236}">
                <a16:creationId xmlns:a16="http://schemas.microsoft.com/office/drawing/2014/main" xmlns="" id="{00000000-0008-0000-0900-000087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2" name="Rectangle 391">
            <a:extLst>
              <a:ext uri="{FF2B5EF4-FFF2-40B4-BE49-F238E27FC236}">
                <a16:creationId xmlns:a16="http://schemas.microsoft.com/office/drawing/2014/main" xmlns="" id="{00000000-0008-0000-0900-000088010000}"/>
              </a:ext>
            </a:extLst>
          </xdr:cNvPr>
          <xdr:cNvSpPr>
            <a:spLocks noChangeArrowheads="1"/>
          </xdr:cNvSpPr>
        </xdr:nvSpPr>
        <xdr:spPr bwMode="auto">
          <a:xfrm>
            <a:off x="4918075" y="808990"/>
            <a:ext cx="39306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5</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3" name="Freeform 1619">
            <a:extLst>
              <a:ext uri="{FF2B5EF4-FFF2-40B4-BE49-F238E27FC236}">
                <a16:creationId xmlns:a16="http://schemas.microsoft.com/office/drawing/2014/main" xmlns="" id="{00000000-0008-0000-0900-000089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4" name="Freeform 1620">
            <a:extLst>
              <a:ext uri="{FF2B5EF4-FFF2-40B4-BE49-F238E27FC236}">
                <a16:creationId xmlns:a16="http://schemas.microsoft.com/office/drawing/2014/main" xmlns="" id="{00000000-0008-0000-0900-00008A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5" name="Rectangle 394">
            <a:extLst>
              <a:ext uri="{FF2B5EF4-FFF2-40B4-BE49-F238E27FC236}">
                <a16:creationId xmlns:a16="http://schemas.microsoft.com/office/drawing/2014/main" xmlns="" id="{00000000-0008-0000-0900-00008B010000}"/>
              </a:ext>
            </a:extLst>
          </xdr:cNvPr>
          <xdr:cNvSpPr>
            <a:spLocks noChangeArrowheads="1"/>
          </xdr:cNvSpPr>
        </xdr:nvSpPr>
        <xdr:spPr bwMode="auto">
          <a:xfrm>
            <a:off x="4914900" y="2066290"/>
            <a:ext cx="5410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6" name="Freeform 1622">
            <a:extLst>
              <a:ext uri="{FF2B5EF4-FFF2-40B4-BE49-F238E27FC236}">
                <a16:creationId xmlns:a16="http://schemas.microsoft.com/office/drawing/2014/main" xmlns="" id="{00000000-0008-0000-0900-00008C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7" name="Freeform 1623">
            <a:extLst>
              <a:ext uri="{FF2B5EF4-FFF2-40B4-BE49-F238E27FC236}">
                <a16:creationId xmlns:a16="http://schemas.microsoft.com/office/drawing/2014/main" xmlns="" id="{00000000-0008-0000-0900-00008D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8" name="Rectangle 397">
            <a:extLst>
              <a:ext uri="{FF2B5EF4-FFF2-40B4-BE49-F238E27FC236}">
                <a16:creationId xmlns:a16="http://schemas.microsoft.com/office/drawing/2014/main" xmlns="" id="{00000000-0008-0000-0900-00008E010000}"/>
              </a:ext>
            </a:extLst>
          </xdr:cNvPr>
          <xdr:cNvSpPr>
            <a:spLocks noChangeArrowheads="1"/>
          </xdr:cNvSpPr>
        </xdr:nvSpPr>
        <xdr:spPr bwMode="auto">
          <a:xfrm>
            <a:off x="2022475" y="1443990"/>
            <a:ext cx="332105" cy="14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99" name="Line 1625">
            <a:extLst>
              <a:ext uri="{FF2B5EF4-FFF2-40B4-BE49-F238E27FC236}">
                <a16:creationId xmlns:a16="http://schemas.microsoft.com/office/drawing/2014/main" xmlns="" id="{00000000-0008-0000-0900-00008F010000}"/>
              </a:ext>
            </a:extLst>
          </xdr:cNvPr>
          <xdr:cNvCxnSpPr/>
        </xdr:nvCxnSpPr>
        <xdr:spPr bwMode="auto">
          <a:xfrm>
            <a:off x="5033010" y="63246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400" name="Line 1626">
            <a:extLst>
              <a:ext uri="{FF2B5EF4-FFF2-40B4-BE49-F238E27FC236}">
                <a16:creationId xmlns:a16="http://schemas.microsoft.com/office/drawing/2014/main" xmlns="" id="{00000000-0008-0000-0900-000090010000}"/>
              </a:ext>
            </a:extLst>
          </xdr:cNvPr>
          <xdr:cNvCxnSpPr/>
        </xdr:nvCxnSpPr>
        <xdr:spPr bwMode="auto">
          <a:xfrm>
            <a:off x="5041265" y="186309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401" name="Line 1627">
            <a:extLst>
              <a:ext uri="{FF2B5EF4-FFF2-40B4-BE49-F238E27FC236}">
                <a16:creationId xmlns:a16="http://schemas.microsoft.com/office/drawing/2014/main" xmlns="" id="{00000000-0008-0000-0900-000091010000}"/>
              </a:ext>
            </a:extLst>
          </xdr:cNvPr>
          <xdr:cNvCxnSpPr/>
        </xdr:nvCxnSpPr>
        <xdr:spPr bwMode="auto">
          <a:xfrm flipH="1">
            <a:off x="2139951" y="124968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02" name="Rectangle 401">
            <a:extLst>
              <a:ext uri="{FF2B5EF4-FFF2-40B4-BE49-F238E27FC236}">
                <a16:creationId xmlns:a16="http://schemas.microsoft.com/office/drawing/2014/main" xmlns="" id="{00000000-0008-0000-0900-000092010000}"/>
              </a:ext>
            </a:extLst>
          </xdr:cNvPr>
          <xdr:cNvSpPr>
            <a:spLocks noChangeArrowheads="1"/>
          </xdr:cNvSpPr>
        </xdr:nvSpPr>
        <xdr:spPr bwMode="auto">
          <a:xfrm>
            <a:off x="2672080" y="149606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03" name="Rectangle 402">
            <a:extLst>
              <a:ext uri="{FF2B5EF4-FFF2-40B4-BE49-F238E27FC236}">
                <a16:creationId xmlns:a16="http://schemas.microsoft.com/office/drawing/2014/main" xmlns="" id="{00000000-0008-0000-0900-000093010000}"/>
              </a:ext>
            </a:extLst>
          </xdr:cNvPr>
          <xdr:cNvSpPr>
            <a:spLocks noChangeArrowheads="1"/>
          </xdr:cNvSpPr>
        </xdr:nvSpPr>
        <xdr:spPr bwMode="auto">
          <a:xfrm>
            <a:off x="2672080" y="149606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4" name="Rectangle 403">
            <a:extLst>
              <a:ext uri="{FF2B5EF4-FFF2-40B4-BE49-F238E27FC236}">
                <a16:creationId xmlns:a16="http://schemas.microsoft.com/office/drawing/2014/main" xmlns="" id="{00000000-0008-0000-0900-000094010000}"/>
              </a:ext>
            </a:extLst>
          </xdr:cNvPr>
          <xdr:cNvSpPr>
            <a:spLocks noChangeArrowheads="1"/>
          </xdr:cNvSpPr>
        </xdr:nvSpPr>
        <xdr:spPr bwMode="auto">
          <a:xfrm>
            <a:off x="2628900" y="1597660"/>
            <a:ext cx="11430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5" name="Freeform 1631">
            <a:extLst>
              <a:ext uri="{FF2B5EF4-FFF2-40B4-BE49-F238E27FC236}">
                <a16:creationId xmlns:a16="http://schemas.microsoft.com/office/drawing/2014/main" xmlns="" id="{00000000-0008-0000-0900-000095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6" name="Freeform 1632">
            <a:extLst>
              <a:ext uri="{FF2B5EF4-FFF2-40B4-BE49-F238E27FC236}">
                <a16:creationId xmlns:a16="http://schemas.microsoft.com/office/drawing/2014/main" xmlns="" id="{00000000-0008-0000-0900-000096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7" name="Rectangle 406">
            <a:extLst>
              <a:ext uri="{FF2B5EF4-FFF2-40B4-BE49-F238E27FC236}">
                <a16:creationId xmlns:a16="http://schemas.microsoft.com/office/drawing/2014/main" xmlns="" id="{00000000-0008-0000-0900-000097010000}"/>
              </a:ext>
            </a:extLst>
          </xdr:cNvPr>
          <xdr:cNvSpPr>
            <a:spLocks noChangeArrowheads="1"/>
          </xdr:cNvSpPr>
        </xdr:nvSpPr>
        <xdr:spPr bwMode="auto">
          <a:xfrm>
            <a:off x="228600" y="2180590"/>
            <a:ext cx="3429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8" name="Freeform 1634">
            <a:extLst>
              <a:ext uri="{FF2B5EF4-FFF2-40B4-BE49-F238E27FC236}">
                <a16:creationId xmlns:a16="http://schemas.microsoft.com/office/drawing/2014/main" xmlns="" id="{00000000-0008-0000-0900-000098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9" name="Freeform 1635">
            <a:extLst>
              <a:ext uri="{FF2B5EF4-FFF2-40B4-BE49-F238E27FC236}">
                <a16:creationId xmlns:a16="http://schemas.microsoft.com/office/drawing/2014/main" xmlns="" id="{00000000-0008-0000-0900-000099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0" name="Rectangle 409">
            <a:extLst>
              <a:ext uri="{FF2B5EF4-FFF2-40B4-BE49-F238E27FC236}">
                <a16:creationId xmlns:a16="http://schemas.microsoft.com/office/drawing/2014/main" xmlns="" id="{00000000-0008-0000-0900-00009A010000}"/>
              </a:ext>
            </a:extLst>
          </xdr:cNvPr>
          <xdr:cNvSpPr>
            <a:spLocks noChangeArrowheads="1"/>
          </xdr:cNvSpPr>
        </xdr:nvSpPr>
        <xdr:spPr bwMode="auto">
          <a:xfrm>
            <a:off x="211455" y="2810510"/>
            <a:ext cx="36004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1" name="Oval 1637">
            <a:extLst>
              <a:ext uri="{FF2B5EF4-FFF2-40B4-BE49-F238E27FC236}">
                <a16:creationId xmlns:a16="http://schemas.microsoft.com/office/drawing/2014/main" xmlns="" id="{00000000-0008-0000-0900-00009B010000}"/>
              </a:ext>
            </a:extLst>
          </xdr:cNvPr>
          <xdr:cNvSpPr>
            <a:spLocks noChangeArrowheads="1"/>
          </xdr:cNvSpPr>
        </xdr:nvSpPr>
        <xdr:spPr bwMode="auto">
          <a:xfrm>
            <a:off x="254000" y="309562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412" name="Oval 1638">
            <a:extLst>
              <a:ext uri="{FF2B5EF4-FFF2-40B4-BE49-F238E27FC236}">
                <a16:creationId xmlns:a16="http://schemas.microsoft.com/office/drawing/2014/main" xmlns="" id="{00000000-0008-0000-0900-00009C010000}"/>
              </a:ext>
            </a:extLst>
          </xdr:cNvPr>
          <xdr:cNvSpPr>
            <a:spLocks noChangeArrowheads="1"/>
          </xdr:cNvSpPr>
        </xdr:nvSpPr>
        <xdr:spPr bwMode="auto">
          <a:xfrm>
            <a:off x="254000" y="309562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3" name="Rectangle 412">
            <a:extLst>
              <a:ext uri="{FF2B5EF4-FFF2-40B4-BE49-F238E27FC236}">
                <a16:creationId xmlns:a16="http://schemas.microsoft.com/office/drawing/2014/main" xmlns="" id="{00000000-0008-0000-0900-00009D010000}"/>
              </a:ext>
            </a:extLst>
          </xdr:cNvPr>
          <xdr:cNvSpPr>
            <a:spLocks noChangeArrowheads="1"/>
          </xdr:cNvSpPr>
        </xdr:nvSpPr>
        <xdr:spPr bwMode="auto">
          <a:xfrm>
            <a:off x="293370" y="311150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4" name="Rectangle 413">
            <a:extLst>
              <a:ext uri="{FF2B5EF4-FFF2-40B4-BE49-F238E27FC236}">
                <a16:creationId xmlns:a16="http://schemas.microsoft.com/office/drawing/2014/main" xmlns="" id="{00000000-0008-0000-0900-00009E010000}"/>
              </a:ext>
            </a:extLst>
          </xdr:cNvPr>
          <xdr:cNvSpPr>
            <a:spLocks noChangeArrowheads="1"/>
          </xdr:cNvSpPr>
        </xdr:nvSpPr>
        <xdr:spPr bwMode="auto">
          <a:xfrm>
            <a:off x="683260" y="249364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5" name="Rectangle 414">
            <a:extLst>
              <a:ext uri="{FF2B5EF4-FFF2-40B4-BE49-F238E27FC236}">
                <a16:creationId xmlns:a16="http://schemas.microsoft.com/office/drawing/2014/main" xmlns="" id="{00000000-0008-0000-0900-00009F010000}"/>
              </a:ext>
            </a:extLst>
          </xdr:cNvPr>
          <xdr:cNvSpPr>
            <a:spLocks noChangeArrowheads="1"/>
          </xdr:cNvSpPr>
        </xdr:nvSpPr>
        <xdr:spPr bwMode="auto">
          <a:xfrm>
            <a:off x="683260" y="249364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6" name="Rectangle 415">
            <a:extLst>
              <a:ext uri="{FF2B5EF4-FFF2-40B4-BE49-F238E27FC236}">
                <a16:creationId xmlns:a16="http://schemas.microsoft.com/office/drawing/2014/main" xmlns="" id="{00000000-0008-0000-0900-0000A0010000}"/>
              </a:ext>
            </a:extLst>
          </xdr:cNvPr>
          <xdr:cNvSpPr>
            <a:spLocks noChangeArrowheads="1"/>
          </xdr:cNvSpPr>
        </xdr:nvSpPr>
        <xdr:spPr bwMode="auto">
          <a:xfrm>
            <a:off x="800100" y="25234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7" name="Rectangle 416">
            <a:extLst>
              <a:ext uri="{FF2B5EF4-FFF2-40B4-BE49-F238E27FC236}">
                <a16:creationId xmlns:a16="http://schemas.microsoft.com/office/drawing/2014/main" xmlns="" id="{00000000-0008-0000-0900-0000A1010000}"/>
              </a:ext>
            </a:extLst>
          </xdr:cNvPr>
          <xdr:cNvSpPr>
            <a:spLocks noChangeArrowheads="1"/>
          </xdr:cNvSpPr>
        </xdr:nvSpPr>
        <xdr:spPr bwMode="auto">
          <a:xfrm>
            <a:off x="696595" y="310896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8" name="Rectangle 417">
            <a:extLst>
              <a:ext uri="{FF2B5EF4-FFF2-40B4-BE49-F238E27FC236}">
                <a16:creationId xmlns:a16="http://schemas.microsoft.com/office/drawing/2014/main" xmlns="" id="{00000000-0008-0000-0900-0000A2010000}"/>
              </a:ext>
            </a:extLst>
          </xdr:cNvPr>
          <xdr:cNvSpPr>
            <a:spLocks noChangeArrowheads="1"/>
          </xdr:cNvSpPr>
        </xdr:nvSpPr>
        <xdr:spPr bwMode="auto">
          <a:xfrm>
            <a:off x="696595" y="310896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9" name="Rectangle 418">
            <a:extLst>
              <a:ext uri="{FF2B5EF4-FFF2-40B4-BE49-F238E27FC236}">
                <a16:creationId xmlns:a16="http://schemas.microsoft.com/office/drawing/2014/main" xmlns="" id="{00000000-0008-0000-0900-0000A3010000}"/>
              </a:ext>
            </a:extLst>
          </xdr:cNvPr>
          <xdr:cNvSpPr>
            <a:spLocks noChangeArrowheads="1"/>
          </xdr:cNvSpPr>
        </xdr:nvSpPr>
        <xdr:spPr bwMode="auto">
          <a:xfrm>
            <a:off x="725805" y="309499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20" name="Rectangle 419">
            <a:extLst>
              <a:ext uri="{FF2B5EF4-FFF2-40B4-BE49-F238E27FC236}">
                <a16:creationId xmlns:a16="http://schemas.microsoft.com/office/drawing/2014/main" xmlns="" id="{00000000-0008-0000-0900-0000A4010000}"/>
              </a:ext>
            </a:extLst>
          </xdr:cNvPr>
          <xdr:cNvSpPr>
            <a:spLocks noChangeArrowheads="1"/>
          </xdr:cNvSpPr>
        </xdr:nvSpPr>
        <xdr:spPr bwMode="auto">
          <a:xfrm>
            <a:off x="688340" y="280035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21" name="Rectangle 420">
            <a:extLst>
              <a:ext uri="{FF2B5EF4-FFF2-40B4-BE49-F238E27FC236}">
                <a16:creationId xmlns:a16="http://schemas.microsoft.com/office/drawing/2014/main" xmlns="" id="{00000000-0008-0000-0900-0000A5010000}"/>
              </a:ext>
            </a:extLst>
          </xdr:cNvPr>
          <xdr:cNvSpPr>
            <a:spLocks noChangeArrowheads="1"/>
          </xdr:cNvSpPr>
        </xdr:nvSpPr>
        <xdr:spPr bwMode="auto">
          <a:xfrm>
            <a:off x="688340" y="280035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2" name="Rectangle 421">
            <a:extLst>
              <a:ext uri="{FF2B5EF4-FFF2-40B4-BE49-F238E27FC236}">
                <a16:creationId xmlns:a16="http://schemas.microsoft.com/office/drawing/2014/main" xmlns="" id="{00000000-0008-0000-0900-0000A6010000}"/>
              </a:ext>
            </a:extLst>
          </xdr:cNvPr>
          <xdr:cNvSpPr>
            <a:spLocks noChangeArrowheads="1"/>
          </xdr:cNvSpPr>
        </xdr:nvSpPr>
        <xdr:spPr bwMode="auto">
          <a:xfrm>
            <a:off x="734695" y="2818765"/>
            <a:ext cx="16656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23" name="Freeform 1649">
            <a:extLst>
              <a:ext uri="{FF2B5EF4-FFF2-40B4-BE49-F238E27FC236}">
                <a16:creationId xmlns:a16="http://schemas.microsoft.com/office/drawing/2014/main" xmlns="" id="{00000000-0008-0000-0900-0000A7010000}"/>
              </a:ext>
            </a:extLst>
          </xdr:cNvPr>
          <xdr:cNvSpPr>
            <a:spLocks/>
          </xdr:cNvSpPr>
        </xdr:nvSpPr>
        <xdr:spPr bwMode="auto">
          <a:xfrm>
            <a:off x="114300" y="2180590"/>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4" name="Rectangle 423">
            <a:extLst>
              <a:ext uri="{FF2B5EF4-FFF2-40B4-BE49-F238E27FC236}">
                <a16:creationId xmlns:a16="http://schemas.microsoft.com/office/drawing/2014/main" xmlns="" id="{00000000-0008-0000-0900-0000A8010000}"/>
              </a:ext>
            </a:extLst>
          </xdr:cNvPr>
          <xdr:cNvSpPr>
            <a:spLocks noChangeArrowheads="1"/>
          </xdr:cNvSpPr>
        </xdr:nvSpPr>
        <xdr:spPr bwMode="auto">
          <a:xfrm>
            <a:off x="2717165" y="2834640"/>
            <a:ext cx="40703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5" name="Line 1651">
            <a:extLst>
              <a:ext uri="{FF2B5EF4-FFF2-40B4-BE49-F238E27FC236}">
                <a16:creationId xmlns:a16="http://schemas.microsoft.com/office/drawing/2014/main" xmlns="" id="{00000000-0008-0000-0900-0000A9010000}"/>
              </a:ext>
            </a:extLst>
          </xdr:cNvPr>
          <xdr:cNvCxnSpPr/>
        </xdr:nvCxnSpPr>
        <xdr:spPr bwMode="auto">
          <a:xfrm flipV="1">
            <a:off x="2834005" y="2649855"/>
            <a:ext cx="1270"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26" name="Freeform 1652">
            <a:extLst>
              <a:ext uri="{FF2B5EF4-FFF2-40B4-BE49-F238E27FC236}">
                <a16:creationId xmlns:a16="http://schemas.microsoft.com/office/drawing/2014/main" xmlns="" id="{00000000-0008-0000-0900-0000AA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27" name="Freeform 1653">
            <a:extLst>
              <a:ext uri="{FF2B5EF4-FFF2-40B4-BE49-F238E27FC236}">
                <a16:creationId xmlns:a16="http://schemas.microsoft.com/office/drawing/2014/main" xmlns="" id="{00000000-0008-0000-0900-0000AB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8" name="Rectangle 427">
            <a:extLst>
              <a:ext uri="{FF2B5EF4-FFF2-40B4-BE49-F238E27FC236}">
                <a16:creationId xmlns:a16="http://schemas.microsoft.com/office/drawing/2014/main" xmlns="" id="{00000000-0008-0000-0900-0000AC010000}"/>
              </a:ext>
            </a:extLst>
          </xdr:cNvPr>
          <xdr:cNvSpPr>
            <a:spLocks noChangeArrowheads="1"/>
          </xdr:cNvSpPr>
        </xdr:nvSpPr>
        <xdr:spPr bwMode="auto">
          <a:xfrm>
            <a:off x="3429000" y="2866390"/>
            <a:ext cx="457200" cy="8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9" name="Line 1655">
            <a:extLst>
              <a:ext uri="{FF2B5EF4-FFF2-40B4-BE49-F238E27FC236}">
                <a16:creationId xmlns:a16="http://schemas.microsoft.com/office/drawing/2014/main" xmlns="" id="{00000000-0008-0000-0900-0000AD010000}"/>
              </a:ext>
            </a:extLst>
          </xdr:cNvPr>
          <xdr:cNvCxnSpPr/>
        </xdr:nvCxnSpPr>
        <xdr:spPr bwMode="auto">
          <a:xfrm flipV="1">
            <a:off x="3589655" y="2649855"/>
            <a:ext cx="635"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30" name="Rectangle 429">
            <a:extLst>
              <a:ext uri="{FF2B5EF4-FFF2-40B4-BE49-F238E27FC236}">
                <a16:creationId xmlns:a16="http://schemas.microsoft.com/office/drawing/2014/main" xmlns="" id="{00000000-0008-0000-0900-0000AE010000}"/>
              </a:ext>
            </a:extLst>
          </xdr:cNvPr>
          <xdr:cNvSpPr>
            <a:spLocks noChangeArrowheads="1"/>
          </xdr:cNvSpPr>
        </xdr:nvSpPr>
        <xdr:spPr bwMode="auto">
          <a:xfrm>
            <a:off x="2679700" y="303530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1" name="Rectangle 430">
            <a:extLst>
              <a:ext uri="{FF2B5EF4-FFF2-40B4-BE49-F238E27FC236}">
                <a16:creationId xmlns:a16="http://schemas.microsoft.com/office/drawing/2014/main" xmlns="" id="{00000000-0008-0000-0900-0000AF010000}"/>
              </a:ext>
            </a:extLst>
          </xdr:cNvPr>
          <xdr:cNvSpPr>
            <a:spLocks noChangeArrowheads="1"/>
          </xdr:cNvSpPr>
        </xdr:nvSpPr>
        <xdr:spPr bwMode="auto">
          <a:xfrm>
            <a:off x="2679700" y="303530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2" name="Rectangle 431">
            <a:extLst>
              <a:ext uri="{FF2B5EF4-FFF2-40B4-BE49-F238E27FC236}">
                <a16:creationId xmlns:a16="http://schemas.microsoft.com/office/drawing/2014/main" xmlns="" id="{00000000-0008-0000-0900-0000B0010000}"/>
              </a:ext>
            </a:extLst>
          </xdr:cNvPr>
          <xdr:cNvSpPr>
            <a:spLocks noChangeArrowheads="1"/>
          </xdr:cNvSpPr>
        </xdr:nvSpPr>
        <xdr:spPr bwMode="auto">
          <a:xfrm>
            <a:off x="2724150" y="305498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3" name="Rectangle 432">
            <a:extLst>
              <a:ext uri="{FF2B5EF4-FFF2-40B4-BE49-F238E27FC236}">
                <a16:creationId xmlns:a16="http://schemas.microsoft.com/office/drawing/2014/main" xmlns="" id="{00000000-0008-0000-0900-0000B1010000}"/>
              </a:ext>
            </a:extLst>
          </xdr:cNvPr>
          <xdr:cNvSpPr>
            <a:spLocks noChangeArrowheads="1"/>
          </xdr:cNvSpPr>
        </xdr:nvSpPr>
        <xdr:spPr bwMode="auto">
          <a:xfrm>
            <a:off x="3366135" y="303530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4" name="Rectangle 433">
            <a:extLst>
              <a:ext uri="{FF2B5EF4-FFF2-40B4-BE49-F238E27FC236}">
                <a16:creationId xmlns:a16="http://schemas.microsoft.com/office/drawing/2014/main" xmlns="" id="{00000000-0008-0000-0900-0000B2010000}"/>
              </a:ext>
            </a:extLst>
          </xdr:cNvPr>
          <xdr:cNvSpPr>
            <a:spLocks noChangeArrowheads="1"/>
          </xdr:cNvSpPr>
        </xdr:nvSpPr>
        <xdr:spPr bwMode="auto">
          <a:xfrm>
            <a:off x="3366135" y="303530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5" name="Rectangle 434">
            <a:extLst>
              <a:ext uri="{FF2B5EF4-FFF2-40B4-BE49-F238E27FC236}">
                <a16:creationId xmlns:a16="http://schemas.microsoft.com/office/drawing/2014/main" xmlns="" id="{00000000-0008-0000-0900-0000B3010000}"/>
              </a:ext>
            </a:extLst>
          </xdr:cNvPr>
          <xdr:cNvSpPr>
            <a:spLocks noChangeArrowheads="1"/>
          </xdr:cNvSpPr>
        </xdr:nvSpPr>
        <xdr:spPr bwMode="auto">
          <a:xfrm>
            <a:off x="3409315" y="3054985"/>
            <a:ext cx="591185" cy="15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36" name="Line 1662">
            <a:extLst>
              <a:ext uri="{FF2B5EF4-FFF2-40B4-BE49-F238E27FC236}">
                <a16:creationId xmlns:a16="http://schemas.microsoft.com/office/drawing/2014/main" xmlns="" id="{00000000-0008-0000-0900-0000B4010000}"/>
              </a:ext>
            </a:extLst>
          </xdr:cNvPr>
          <xdr:cNvCxnSpPr/>
        </xdr:nvCxnSpPr>
        <xdr:spPr bwMode="auto">
          <a:xfrm>
            <a:off x="4686300" y="889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437" name="Rectangle 436">
            <a:extLst>
              <a:ext uri="{FF2B5EF4-FFF2-40B4-BE49-F238E27FC236}">
                <a16:creationId xmlns:a16="http://schemas.microsoft.com/office/drawing/2014/main" xmlns="" id="{00000000-0008-0000-0900-0000B5010000}"/>
              </a:ext>
            </a:extLst>
          </xdr:cNvPr>
          <xdr:cNvSpPr>
            <a:spLocks noChangeArrowheads="1"/>
          </xdr:cNvSpPr>
        </xdr:nvSpPr>
        <xdr:spPr bwMode="auto">
          <a:xfrm>
            <a:off x="685800" y="21805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8" name="Freeform 1664">
            <a:extLst>
              <a:ext uri="{FF2B5EF4-FFF2-40B4-BE49-F238E27FC236}">
                <a16:creationId xmlns:a16="http://schemas.microsoft.com/office/drawing/2014/main" xmlns="" id="{00000000-0008-0000-0900-0000B6010000}"/>
              </a:ext>
            </a:extLst>
          </xdr:cNvPr>
          <xdr:cNvSpPr>
            <a:spLocks/>
          </xdr:cNvSpPr>
        </xdr:nvSpPr>
        <xdr:spPr bwMode="auto">
          <a:xfrm>
            <a:off x="2638425" y="280225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9" name="Rectangle 438">
            <a:extLst>
              <a:ext uri="{FF2B5EF4-FFF2-40B4-BE49-F238E27FC236}">
                <a16:creationId xmlns:a16="http://schemas.microsoft.com/office/drawing/2014/main" xmlns="" id="{00000000-0008-0000-0900-0000B7010000}"/>
              </a:ext>
            </a:extLst>
          </xdr:cNvPr>
          <xdr:cNvSpPr>
            <a:spLocks noChangeArrowheads="1"/>
          </xdr:cNvSpPr>
        </xdr:nvSpPr>
        <xdr:spPr bwMode="auto">
          <a:xfrm>
            <a:off x="228600" y="2523490"/>
            <a:ext cx="33083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40" name="Freeform 1666">
            <a:extLst>
              <a:ext uri="{FF2B5EF4-FFF2-40B4-BE49-F238E27FC236}">
                <a16:creationId xmlns:a16="http://schemas.microsoft.com/office/drawing/2014/main" xmlns="" id="{00000000-0008-0000-0900-0000B8010000}"/>
              </a:ext>
            </a:extLst>
          </xdr:cNvPr>
          <xdr:cNvSpPr>
            <a:spLocks/>
          </xdr:cNvSpPr>
        </xdr:nvSpPr>
        <xdr:spPr bwMode="auto">
          <a:xfrm>
            <a:off x="2993390" y="889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441" name="Line 1667">
            <a:extLst>
              <a:ext uri="{FF2B5EF4-FFF2-40B4-BE49-F238E27FC236}">
                <a16:creationId xmlns:a16="http://schemas.microsoft.com/office/drawing/2014/main" xmlns="" id="{00000000-0008-0000-0900-0000B9010000}"/>
              </a:ext>
            </a:extLst>
          </xdr:cNvPr>
          <xdr:cNvCxnSpPr/>
        </xdr:nvCxnSpPr>
        <xdr:spPr bwMode="auto">
          <a:xfrm>
            <a:off x="3221990" y="18669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42" name="Rectangle 441">
            <a:extLst>
              <a:ext uri="{FF2B5EF4-FFF2-40B4-BE49-F238E27FC236}">
                <a16:creationId xmlns:a16="http://schemas.microsoft.com/office/drawing/2014/main" xmlns="" id="{00000000-0008-0000-0900-0000BA010000}"/>
              </a:ext>
            </a:extLst>
          </xdr:cNvPr>
          <xdr:cNvSpPr>
            <a:spLocks noChangeArrowheads="1"/>
          </xdr:cNvSpPr>
        </xdr:nvSpPr>
        <xdr:spPr bwMode="auto">
          <a:xfrm>
            <a:off x="3107690" y="889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27</xdr:col>
      <xdr:colOff>476251</xdr:colOff>
      <xdr:row>194</xdr:row>
      <xdr:rowOff>105833</xdr:rowOff>
    </xdr:from>
    <xdr:to>
      <xdr:col>28</xdr:col>
      <xdr:colOff>755016</xdr:colOff>
      <xdr:row>195</xdr:row>
      <xdr:rowOff>56938</xdr:rowOff>
    </xdr:to>
    <xdr:sp macro="" textlink="">
      <xdr:nvSpPr>
        <xdr:cNvPr id="443" name="Rectangle 442">
          <a:extLst>
            <a:ext uri="{FF2B5EF4-FFF2-40B4-BE49-F238E27FC236}">
              <a16:creationId xmlns:a16="http://schemas.microsoft.com/office/drawing/2014/main" xmlns="" id="{00000000-0008-0000-0900-0000BB010000}"/>
            </a:ext>
          </a:extLst>
        </xdr:cNvPr>
        <xdr:cNvSpPr>
          <a:spLocks noChangeArrowheads="1"/>
        </xdr:cNvSpPr>
      </xdr:nvSpPr>
      <xdr:spPr bwMode="auto">
        <a:xfrm>
          <a:off x="22517101" y="34567283"/>
          <a:ext cx="1040765" cy="141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3</xdr:col>
          <xdr:colOff>388620</xdr:colOff>
          <xdr:row>109</xdr:row>
          <xdr:rowOff>60960</xdr:rowOff>
        </xdr:from>
        <xdr:to>
          <xdr:col>9</xdr:col>
          <xdr:colOff>342900</xdr:colOff>
          <xdr:row>110</xdr:row>
          <xdr:rowOff>152400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xmlns="" id="{00000000-0008-0000-09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216477</xdr:colOff>
      <xdr:row>1</xdr:row>
      <xdr:rowOff>196091</xdr:rowOff>
    </xdr:from>
    <xdr:to>
      <xdr:col>8</xdr:col>
      <xdr:colOff>510381</xdr:colOff>
      <xdr:row>6</xdr:row>
      <xdr:rowOff>114300</xdr:rowOff>
    </xdr:to>
    <xdr:pic>
      <xdr:nvPicPr>
        <xdr:cNvPr id="445" name="Image 444">
          <a:extLst>
            <a:ext uri="{FF2B5EF4-FFF2-40B4-BE49-F238E27FC236}">
              <a16:creationId xmlns:a16="http://schemas.microsoft.com/office/drawing/2014/main" xmlns="" id="{00000000-0008-0000-0900-0000BD010000}"/>
            </a:ext>
          </a:extLst>
        </xdr:cNvPr>
        <xdr:cNvPicPr>
          <a:picLocks noChangeAspect="1"/>
        </xdr:cNvPicPr>
      </xdr:nvPicPr>
      <xdr:blipFill rotWithShape="1">
        <a:blip xmlns:r="http://schemas.openxmlformats.org/officeDocument/2006/relationships" r:embed="rId2"/>
        <a:srcRect l="7818" t="8205" r="6878" b="7738"/>
        <a:stretch/>
      </xdr:blipFill>
      <xdr:spPr>
        <a:xfrm>
          <a:off x="6903027" y="462791"/>
          <a:ext cx="1351179" cy="889759"/>
        </a:xfrm>
        <a:prstGeom prst="rect">
          <a:avLst/>
        </a:prstGeom>
      </xdr:spPr>
    </xdr:pic>
    <xdr:clientData/>
  </xdr:twoCellAnchor>
  <xdr:oneCellAnchor>
    <xdr:from>
      <xdr:col>21</xdr:col>
      <xdr:colOff>171450</xdr:colOff>
      <xdr:row>18</xdr:row>
      <xdr:rowOff>38100</xdr:rowOff>
    </xdr:from>
    <xdr:ext cx="4905375" cy="3209767"/>
    <xdr:pic>
      <xdr:nvPicPr>
        <xdr:cNvPr id="446" name="Image 445">
          <a:extLst>
            <a:ext uri="{FF2B5EF4-FFF2-40B4-BE49-F238E27FC236}">
              <a16:creationId xmlns:a16="http://schemas.microsoft.com/office/drawing/2014/main" xmlns="" id="{00000000-0008-0000-0900-0000BE01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164" t="20972" r="31045" b="30685"/>
        <a:stretch/>
      </xdr:blipFill>
      <xdr:spPr bwMode="auto">
        <a:xfrm>
          <a:off x="17640300" y="4191000"/>
          <a:ext cx="4905375" cy="32097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4</xdr:col>
      <xdr:colOff>114300</xdr:colOff>
      <xdr:row>5</xdr:row>
      <xdr:rowOff>152399</xdr:rowOff>
    </xdr:from>
    <xdr:to>
      <xdr:col>12</xdr:col>
      <xdr:colOff>685799</xdr:colOff>
      <xdr:row>32</xdr:row>
      <xdr:rowOff>142875</xdr:rowOff>
    </xdr:to>
    <xdr:grpSp>
      <xdr:nvGrpSpPr>
        <xdr:cNvPr id="2" name="Zone de dessin 798">
          <a:extLst>
            <a:ext uri="{FF2B5EF4-FFF2-40B4-BE49-F238E27FC236}">
              <a16:creationId xmlns:a16="http://schemas.microsoft.com/office/drawing/2014/main" xmlns="" id="{00000000-0008-0000-0B00-000002000000}"/>
            </a:ext>
          </a:extLst>
        </xdr:cNvPr>
        <xdr:cNvGrpSpPr/>
      </xdr:nvGrpSpPr>
      <xdr:grpSpPr>
        <a:xfrm>
          <a:off x="3162300" y="1186542"/>
          <a:ext cx="6667499" cy="5133976"/>
          <a:chOff x="0" y="0"/>
          <a:chExt cx="6479540" cy="2630170"/>
        </a:xfrm>
      </xdr:grpSpPr>
      <xdr:sp macro="" textlink="">
        <xdr:nvSpPr>
          <xdr:cNvPr id="3" name="Rectangle 2">
            <a:extLst>
              <a:ext uri="{FF2B5EF4-FFF2-40B4-BE49-F238E27FC236}">
                <a16:creationId xmlns:a16="http://schemas.microsoft.com/office/drawing/2014/main" xmlns="" id="{00000000-0008-0000-0B00-000003000000}"/>
              </a:ext>
            </a:extLst>
          </xdr:cNvPr>
          <xdr:cNvSpPr/>
        </xdr:nvSpPr>
        <xdr:spPr>
          <a:xfrm>
            <a:off x="0" y="0"/>
            <a:ext cx="6479540" cy="2630170"/>
          </a:xfrm>
          <a:prstGeom prst="rect">
            <a:avLst/>
          </a:prstGeom>
          <a:noFill/>
          <a:ln>
            <a:noFill/>
          </a:ln>
        </xdr:spPr>
      </xdr:sp>
      <xdr:sp macro="" textlink="">
        <xdr:nvSpPr>
          <xdr:cNvPr id="4" name="AutoShape 800">
            <a:extLst>
              <a:ext uri="{FF2B5EF4-FFF2-40B4-BE49-F238E27FC236}">
                <a16:creationId xmlns:a16="http://schemas.microsoft.com/office/drawing/2014/main" xmlns="" id="{00000000-0008-0000-0B00-000004000000}"/>
              </a:ext>
            </a:extLst>
          </xdr:cNvPr>
          <xdr:cNvSpPr>
            <a:spLocks noChangeAspect="1" noChangeArrowheads="1"/>
          </xdr:cNvSpPr>
        </xdr:nvSpPr>
        <xdr:spPr bwMode="auto">
          <a:xfrm>
            <a:off x="0" y="3009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5" name="Rectangle 4">
            <a:extLst>
              <a:ext uri="{FF2B5EF4-FFF2-40B4-BE49-F238E27FC236}">
                <a16:creationId xmlns:a16="http://schemas.microsoft.com/office/drawing/2014/main" xmlns="" id="{00000000-0008-0000-0B00-000005000000}"/>
              </a:ext>
            </a:extLst>
          </xdr:cNvPr>
          <xdr:cNvSpPr>
            <a:spLocks noChangeArrowheads="1"/>
          </xdr:cNvSpPr>
        </xdr:nvSpPr>
        <xdr:spPr bwMode="auto">
          <a:xfrm>
            <a:off x="2594610" y="2933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solidFill>
                <a:sysClr val="windowText" lastClr="000000"/>
              </a:solidFill>
            </a:endParaRPr>
          </a:p>
        </xdr:txBody>
      </xdr:sp>
      <xdr:sp macro="" textlink="">
        <xdr:nvSpPr>
          <xdr:cNvPr id="6" name="Rectangle 5">
            <a:extLst>
              <a:ext uri="{FF2B5EF4-FFF2-40B4-BE49-F238E27FC236}">
                <a16:creationId xmlns:a16="http://schemas.microsoft.com/office/drawing/2014/main" xmlns="" id="{00000000-0008-0000-0B00-000006000000}"/>
              </a:ext>
            </a:extLst>
          </xdr:cNvPr>
          <xdr:cNvSpPr>
            <a:spLocks noChangeArrowheads="1"/>
          </xdr:cNvSpPr>
        </xdr:nvSpPr>
        <xdr:spPr bwMode="auto">
          <a:xfrm>
            <a:off x="2594610" y="2933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 name="Rectangle 6">
            <a:extLst>
              <a:ext uri="{FF2B5EF4-FFF2-40B4-BE49-F238E27FC236}">
                <a16:creationId xmlns:a16="http://schemas.microsoft.com/office/drawing/2014/main" xmlns="" id="{00000000-0008-0000-0B00-000007000000}"/>
              </a:ext>
            </a:extLst>
          </xdr:cNvPr>
          <xdr:cNvSpPr>
            <a:spLocks noChangeArrowheads="1"/>
          </xdr:cNvSpPr>
        </xdr:nvSpPr>
        <xdr:spPr bwMode="auto">
          <a:xfrm>
            <a:off x="2936240" y="659130"/>
            <a:ext cx="60706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 name="Line 804">
            <a:extLst>
              <a:ext uri="{FF2B5EF4-FFF2-40B4-BE49-F238E27FC236}">
                <a16:creationId xmlns:a16="http://schemas.microsoft.com/office/drawing/2014/main" xmlns="" id="{00000000-0008-0000-0B00-000008000000}"/>
              </a:ext>
            </a:extLst>
          </xdr:cNvPr>
          <xdr:cNvCxnSpPr/>
        </xdr:nvCxnSpPr>
        <xdr:spPr bwMode="auto">
          <a:xfrm flipH="1">
            <a:off x="3908425" y="13665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9" name="Freeform 805">
            <a:extLst>
              <a:ext uri="{FF2B5EF4-FFF2-40B4-BE49-F238E27FC236}">
                <a16:creationId xmlns:a16="http://schemas.microsoft.com/office/drawing/2014/main" xmlns="" id="{00000000-0008-0000-0B00-000009000000}"/>
              </a:ext>
            </a:extLst>
          </xdr:cNvPr>
          <xdr:cNvSpPr>
            <a:spLocks/>
          </xdr:cNvSpPr>
        </xdr:nvSpPr>
        <xdr:spPr bwMode="auto">
          <a:xfrm>
            <a:off x="3828415" y="13220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cxnSp macro="">
        <xdr:nvCxnSpPr>
          <xdr:cNvPr id="10" name="Line 806">
            <a:extLst>
              <a:ext uri="{FF2B5EF4-FFF2-40B4-BE49-F238E27FC236}">
                <a16:creationId xmlns:a16="http://schemas.microsoft.com/office/drawing/2014/main" xmlns="" id="{00000000-0008-0000-0B00-00000A000000}"/>
              </a:ext>
            </a:extLst>
          </xdr:cNvPr>
          <xdr:cNvCxnSpPr/>
        </xdr:nvCxnSpPr>
        <xdr:spPr bwMode="auto">
          <a:xfrm>
            <a:off x="3828415" y="6000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1" name="Line 807">
            <a:extLst>
              <a:ext uri="{FF2B5EF4-FFF2-40B4-BE49-F238E27FC236}">
                <a16:creationId xmlns:a16="http://schemas.microsoft.com/office/drawing/2014/main" xmlns="" id="{00000000-0008-0000-0B00-00000B000000}"/>
              </a:ext>
            </a:extLst>
          </xdr:cNvPr>
          <xdr:cNvCxnSpPr/>
        </xdr:nvCxnSpPr>
        <xdr:spPr bwMode="auto">
          <a:xfrm flipH="1">
            <a:off x="1094105" y="6000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2" name="Rectangle 11">
            <a:extLst>
              <a:ext uri="{FF2B5EF4-FFF2-40B4-BE49-F238E27FC236}">
                <a16:creationId xmlns:a16="http://schemas.microsoft.com/office/drawing/2014/main" xmlns="" id="{00000000-0008-0000-0B00-00000C000000}"/>
              </a:ext>
            </a:extLst>
          </xdr:cNvPr>
          <xdr:cNvSpPr>
            <a:spLocks noChangeArrowheads="1"/>
          </xdr:cNvSpPr>
        </xdr:nvSpPr>
        <xdr:spPr bwMode="auto">
          <a:xfrm>
            <a:off x="16510" y="4464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3" name="Rectangle 12">
            <a:extLst>
              <a:ext uri="{FF2B5EF4-FFF2-40B4-BE49-F238E27FC236}">
                <a16:creationId xmlns:a16="http://schemas.microsoft.com/office/drawing/2014/main" xmlns="" id="{00000000-0008-0000-0B00-00000D000000}"/>
              </a:ext>
            </a:extLst>
          </xdr:cNvPr>
          <xdr:cNvSpPr>
            <a:spLocks noChangeArrowheads="1"/>
          </xdr:cNvSpPr>
        </xdr:nvSpPr>
        <xdr:spPr bwMode="auto">
          <a:xfrm>
            <a:off x="16510" y="4464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4" name="Rectangle 13">
            <a:extLst>
              <a:ext uri="{FF2B5EF4-FFF2-40B4-BE49-F238E27FC236}">
                <a16:creationId xmlns:a16="http://schemas.microsoft.com/office/drawing/2014/main" xmlns="" id="{00000000-0008-0000-0B00-00000E000000}"/>
              </a:ext>
            </a:extLst>
          </xdr:cNvPr>
          <xdr:cNvSpPr>
            <a:spLocks noChangeArrowheads="1"/>
          </xdr:cNvSpPr>
        </xdr:nvSpPr>
        <xdr:spPr bwMode="auto">
          <a:xfrm>
            <a:off x="187960" y="7950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 name="Rectangle 14">
            <a:extLst>
              <a:ext uri="{FF2B5EF4-FFF2-40B4-BE49-F238E27FC236}">
                <a16:creationId xmlns:a16="http://schemas.microsoft.com/office/drawing/2014/main" xmlns="" id="{00000000-0008-0000-0B00-00000F000000}"/>
              </a:ext>
            </a:extLst>
          </xdr:cNvPr>
          <xdr:cNvSpPr>
            <a:spLocks noChangeArrowheads="1"/>
          </xdr:cNvSpPr>
        </xdr:nvSpPr>
        <xdr:spPr bwMode="auto">
          <a:xfrm>
            <a:off x="5385435" y="4464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6" name="Rectangle 15">
            <a:extLst>
              <a:ext uri="{FF2B5EF4-FFF2-40B4-BE49-F238E27FC236}">
                <a16:creationId xmlns:a16="http://schemas.microsoft.com/office/drawing/2014/main" xmlns="" id="{00000000-0008-0000-0B00-000010000000}"/>
              </a:ext>
            </a:extLst>
          </xdr:cNvPr>
          <xdr:cNvSpPr>
            <a:spLocks noChangeArrowheads="1"/>
          </xdr:cNvSpPr>
        </xdr:nvSpPr>
        <xdr:spPr bwMode="auto">
          <a:xfrm>
            <a:off x="5385435" y="4464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17" name="Rectangle 16">
            <a:extLst>
              <a:ext uri="{FF2B5EF4-FFF2-40B4-BE49-F238E27FC236}">
                <a16:creationId xmlns:a16="http://schemas.microsoft.com/office/drawing/2014/main" xmlns="" id="{00000000-0008-0000-0B00-000011000000}"/>
              </a:ext>
            </a:extLst>
          </xdr:cNvPr>
          <xdr:cNvSpPr>
            <a:spLocks noChangeArrowheads="1"/>
          </xdr:cNvSpPr>
        </xdr:nvSpPr>
        <xdr:spPr bwMode="auto">
          <a:xfrm>
            <a:off x="5471160" y="8775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8" name="Line 814">
            <a:extLst>
              <a:ext uri="{FF2B5EF4-FFF2-40B4-BE49-F238E27FC236}">
                <a16:creationId xmlns:a16="http://schemas.microsoft.com/office/drawing/2014/main" xmlns="" id="{00000000-0008-0000-0B00-000012000000}"/>
              </a:ext>
            </a:extLst>
          </xdr:cNvPr>
          <xdr:cNvCxnSpPr/>
        </xdr:nvCxnSpPr>
        <xdr:spPr bwMode="auto">
          <a:xfrm>
            <a:off x="1094105" y="13665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9" name="Freeform 815">
            <a:extLst>
              <a:ext uri="{FF2B5EF4-FFF2-40B4-BE49-F238E27FC236}">
                <a16:creationId xmlns:a16="http://schemas.microsoft.com/office/drawing/2014/main" xmlns="" id="{00000000-0008-0000-0B00-000013000000}"/>
              </a:ext>
            </a:extLst>
          </xdr:cNvPr>
          <xdr:cNvSpPr>
            <a:spLocks/>
          </xdr:cNvSpPr>
        </xdr:nvSpPr>
        <xdr:spPr bwMode="auto">
          <a:xfrm>
            <a:off x="2504440" y="13220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20" name="Oval 816">
            <a:extLst>
              <a:ext uri="{FF2B5EF4-FFF2-40B4-BE49-F238E27FC236}">
                <a16:creationId xmlns:a16="http://schemas.microsoft.com/office/drawing/2014/main" xmlns="" id="{00000000-0008-0000-0B00-000014000000}"/>
              </a:ext>
            </a:extLst>
          </xdr:cNvPr>
          <xdr:cNvSpPr>
            <a:spLocks noChangeArrowheads="1"/>
          </xdr:cNvSpPr>
        </xdr:nvSpPr>
        <xdr:spPr bwMode="auto">
          <a:xfrm>
            <a:off x="2009140" y="4622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1" name="Oval 817">
            <a:extLst>
              <a:ext uri="{FF2B5EF4-FFF2-40B4-BE49-F238E27FC236}">
                <a16:creationId xmlns:a16="http://schemas.microsoft.com/office/drawing/2014/main" xmlns="" id="{00000000-0008-0000-0B00-000015000000}"/>
              </a:ext>
            </a:extLst>
          </xdr:cNvPr>
          <xdr:cNvSpPr>
            <a:spLocks noChangeArrowheads="1"/>
          </xdr:cNvSpPr>
        </xdr:nvSpPr>
        <xdr:spPr bwMode="auto">
          <a:xfrm>
            <a:off x="2009140" y="4622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2" name="Rectangle 21">
            <a:extLst>
              <a:ext uri="{FF2B5EF4-FFF2-40B4-BE49-F238E27FC236}">
                <a16:creationId xmlns:a16="http://schemas.microsoft.com/office/drawing/2014/main" xmlns="" id="{00000000-0008-0000-0B00-000016000000}"/>
              </a:ext>
            </a:extLst>
          </xdr:cNvPr>
          <xdr:cNvSpPr>
            <a:spLocks noChangeArrowheads="1"/>
          </xdr:cNvSpPr>
        </xdr:nvSpPr>
        <xdr:spPr bwMode="auto">
          <a:xfrm>
            <a:off x="2096770"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 name="Oval 819">
            <a:extLst>
              <a:ext uri="{FF2B5EF4-FFF2-40B4-BE49-F238E27FC236}">
                <a16:creationId xmlns:a16="http://schemas.microsoft.com/office/drawing/2014/main" xmlns="" id="{00000000-0008-0000-0B00-000017000000}"/>
              </a:ext>
            </a:extLst>
          </xdr:cNvPr>
          <xdr:cNvSpPr>
            <a:spLocks noChangeArrowheads="1"/>
          </xdr:cNvSpPr>
        </xdr:nvSpPr>
        <xdr:spPr bwMode="auto">
          <a:xfrm>
            <a:off x="4956810" y="4622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24" name="Oval 820">
            <a:extLst>
              <a:ext uri="{FF2B5EF4-FFF2-40B4-BE49-F238E27FC236}">
                <a16:creationId xmlns:a16="http://schemas.microsoft.com/office/drawing/2014/main" xmlns="" id="{00000000-0008-0000-0B00-000018000000}"/>
              </a:ext>
            </a:extLst>
          </xdr:cNvPr>
          <xdr:cNvSpPr>
            <a:spLocks noChangeArrowheads="1"/>
          </xdr:cNvSpPr>
        </xdr:nvSpPr>
        <xdr:spPr bwMode="auto">
          <a:xfrm>
            <a:off x="4956810" y="4622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5" name="Rectangle 24">
            <a:extLst>
              <a:ext uri="{FF2B5EF4-FFF2-40B4-BE49-F238E27FC236}">
                <a16:creationId xmlns:a16="http://schemas.microsoft.com/office/drawing/2014/main" xmlns="" id="{00000000-0008-0000-0B00-000019000000}"/>
              </a:ext>
            </a:extLst>
          </xdr:cNvPr>
          <xdr:cNvSpPr>
            <a:spLocks noChangeArrowheads="1"/>
          </xdr:cNvSpPr>
        </xdr:nvSpPr>
        <xdr:spPr bwMode="auto">
          <a:xfrm>
            <a:off x="5045075" y="5060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 name="Freeform 822">
            <a:extLst>
              <a:ext uri="{FF2B5EF4-FFF2-40B4-BE49-F238E27FC236}">
                <a16:creationId xmlns:a16="http://schemas.microsoft.com/office/drawing/2014/main" xmlns="" id="{00000000-0008-0000-0B00-00001A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27" name="Freeform 823">
            <a:extLst>
              <a:ext uri="{FF2B5EF4-FFF2-40B4-BE49-F238E27FC236}">
                <a16:creationId xmlns:a16="http://schemas.microsoft.com/office/drawing/2014/main" xmlns="" id="{00000000-0008-0000-0B00-00001B000000}"/>
              </a:ext>
            </a:extLst>
          </xdr:cNvPr>
          <xdr:cNvSpPr>
            <a:spLocks/>
          </xdr:cNvSpPr>
        </xdr:nvSpPr>
        <xdr:spPr bwMode="auto">
          <a:xfrm>
            <a:off x="1178560" y="8947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28" name="Rectangle 27">
            <a:extLst>
              <a:ext uri="{FF2B5EF4-FFF2-40B4-BE49-F238E27FC236}">
                <a16:creationId xmlns:a16="http://schemas.microsoft.com/office/drawing/2014/main" xmlns="" id="{00000000-0008-0000-0B00-00001C000000}"/>
              </a:ext>
            </a:extLst>
          </xdr:cNvPr>
          <xdr:cNvSpPr>
            <a:spLocks noChangeArrowheads="1"/>
          </xdr:cNvSpPr>
        </xdr:nvSpPr>
        <xdr:spPr bwMode="auto">
          <a:xfrm>
            <a:off x="1280160" y="920115"/>
            <a:ext cx="335280" cy="15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 name="Freeform 825">
            <a:extLst>
              <a:ext uri="{FF2B5EF4-FFF2-40B4-BE49-F238E27FC236}">
                <a16:creationId xmlns:a16="http://schemas.microsoft.com/office/drawing/2014/main" xmlns="" id="{00000000-0008-0000-0B00-00001D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30" name="Freeform 826">
            <a:extLst>
              <a:ext uri="{FF2B5EF4-FFF2-40B4-BE49-F238E27FC236}">
                <a16:creationId xmlns:a16="http://schemas.microsoft.com/office/drawing/2014/main" xmlns="" id="{00000000-0008-0000-0B00-00001E000000}"/>
              </a:ext>
            </a:extLst>
          </xdr:cNvPr>
          <xdr:cNvSpPr>
            <a:spLocks/>
          </xdr:cNvSpPr>
        </xdr:nvSpPr>
        <xdr:spPr bwMode="auto">
          <a:xfrm>
            <a:off x="4148455" y="8978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31" name="Rectangle 30">
            <a:extLst>
              <a:ext uri="{FF2B5EF4-FFF2-40B4-BE49-F238E27FC236}">
                <a16:creationId xmlns:a16="http://schemas.microsoft.com/office/drawing/2014/main" xmlns="" id="{00000000-0008-0000-0B00-00001F000000}"/>
              </a:ext>
            </a:extLst>
          </xdr:cNvPr>
          <xdr:cNvSpPr>
            <a:spLocks noChangeArrowheads="1"/>
          </xdr:cNvSpPr>
        </xdr:nvSpPr>
        <xdr:spPr bwMode="auto">
          <a:xfrm>
            <a:off x="4253230" y="923290"/>
            <a:ext cx="356870" cy="16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2" name="Line 828">
            <a:extLst>
              <a:ext uri="{FF2B5EF4-FFF2-40B4-BE49-F238E27FC236}">
                <a16:creationId xmlns:a16="http://schemas.microsoft.com/office/drawing/2014/main" xmlns="" id="{00000000-0008-0000-0B00-000020000000}"/>
              </a:ext>
            </a:extLst>
          </xdr:cNvPr>
          <xdr:cNvCxnSpPr/>
        </xdr:nvCxnSpPr>
        <xdr:spPr bwMode="auto">
          <a:xfrm>
            <a:off x="4371975" y="6038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3" name="Line 829">
            <a:extLst>
              <a:ext uri="{FF2B5EF4-FFF2-40B4-BE49-F238E27FC236}">
                <a16:creationId xmlns:a16="http://schemas.microsoft.com/office/drawing/2014/main" xmlns="" id="{00000000-0008-0000-0B00-000021000000}"/>
              </a:ext>
            </a:extLst>
          </xdr:cNvPr>
          <xdr:cNvCxnSpPr/>
        </xdr:nvCxnSpPr>
        <xdr:spPr bwMode="auto">
          <a:xfrm>
            <a:off x="4371975" y="10756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4" name="Line 830">
            <a:extLst>
              <a:ext uri="{FF2B5EF4-FFF2-40B4-BE49-F238E27FC236}">
                <a16:creationId xmlns:a16="http://schemas.microsoft.com/office/drawing/2014/main" xmlns="" id="{00000000-0008-0000-0B00-000022000000}"/>
              </a:ext>
            </a:extLst>
          </xdr:cNvPr>
          <xdr:cNvCxnSpPr/>
        </xdr:nvCxnSpPr>
        <xdr:spPr bwMode="auto">
          <a:xfrm flipV="1">
            <a:off x="1403350" y="1072515"/>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5" name="Line 831">
            <a:extLst>
              <a:ext uri="{FF2B5EF4-FFF2-40B4-BE49-F238E27FC236}">
                <a16:creationId xmlns:a16="http://schemas.microsoft.com/office/drawing/2014/main" xmlns="" id="{00000000-0008-0000-0B00-000023000000}"/>
              </a:ext>
            </a:extLst>
          </xdr:cNvPr>
          <xdr:cNvCxnSpPr/>
        </xdr:nvCxnSpPr>
        <xdr:spPr bwMode="auto">
          <a:xfrm flipV="1">
            <a:off x="1403350" y="6000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 name="Line 832">
            <a:extLst>
              <a:ext uri="{FF2B5EF4-FFF2-40B4-BE49-F238E27FC236}">
                <a16:creationId xmlns:a16="http://schemas.microsoft.com/office/drawing/2014/main" xmlns="" id="{00000000-0008-0000-0B00-000024000000}"/>
              </a:ext>
            </a:extLst>
          </xdr:cNvPr>
          <xdr:cNvCxnSpPr/>
        </xdr:nvCxnSpPr>
        <xdr:spPr bwMode="auto">
          <a:xfrm flipH="1">
            <a:off x="4225925" y="12160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 name="Line 833">
            <a:extLst>
              <a:ext uri="{FF2B5EF4-FFF2-40B4-BE49-F238E27FC236}">
                <a16:creationId xmlns:a16="http://schemas.microsoft.com/office/drawing/2014/main" xmlns="" id="{00000000-0008-0000-0B00-000025000000}"/>
              </a:ext>
            </a:extLst>
          </xdr:cNvPr>
          <xdr:cNvCxnSpPr/>
        </xdr:nvCxnSpPr>
        <xdr:spPr bwMode="auto">
          <a:xfrm flipH="1">
            <a:off x="4232910" y="7562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8" name="Line 834">
            <a:extLst>
              <a:ext uri="{FF2B5EF4-FFF2-40B4-BE49-F238E27FC236}">
                <a16:creationId xmlns:a16="http://schemas.microsoft.com/office/drawing/2014/main" xmlns="" id="{00000000-0008-0000-0B00-000026000000}"/>
              </a:ext>
            </a:extLst>
          </xdr:cNvPr>
          <xdr:cNvCxnSpPr/>
        </xdr:nvCxnSpPr>
        <xdr:spPr bwMode="auto">
          <a:xfrm>
            <a:off x="1403350" y="7531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9" name="Line 835">
            <a:extLst>
              <a:ext uri="{FF2B5EF4-FFF2-40B4-BE49-F238E27FC236}">
                <a16:creationId xmlns:a16="http://schemas.microsoft.com/office/drawing/2014/main" xmlns="" id="{00000000-0008-0000-0B00-000027000000}"/>
              </a:ext>
            </a:extLst>
          </xdr:cNvPr>
          <xdr:cNvCxnSpPr/>
        </xdr:nvCxnSpPr>
        <xdr:spPr bwMode="auto">
          <a:xfrm>
            <a:off x="1403350" y="12128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40" name="Oval 836">
            <a:extLst>
              <a:ext uri="{FF2B5EF4-FFF2-40B4-BE49-F238E27FC236}">
                <a16:creationId xmlns:a16="http://schemas.microsoft.com/office/drawing/2014/main" xmlns="" id="{00000000-0008-0000-0B00-000028000000}"/>
              </a:ext>
            </a:extLst>
          </xdr:cNvPr>
          <xdr:cNvSpPr>
            <a:spLocks noChangeArrowheads="1"/>
          </xdr:cNvSpPr>
        </xdr:nvSpPr>
        <xdr:spPr bwMode="auto">
          <a:xfrm>
            <a:off x="1556385" y="11366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1" name="Oval 837">
            <a:extLst>
              <a:ext uri="{FF2B5EF4-FFF2-40B4-BE49-F238E27FC236}">
                <a16:creationId xmlns:a16="http://schemas.microsoft.com/office/drawing/2014/main" xmlns="" id="{00000000-0008-0000-0B00-000029000000}"/>
              </a:ext>
            </a:extLst>
          </xdr:cNvPr>
          <xdr:cNvSpPr>
            <a:spLocks noChangeArrowheads="1"/>
          </xdr:cNvSpPr>
        </xdr:nvSpPr>
        <xdr:spPr bwMode="auto">
          <a:xfrm>
            <a:off x="1556385" y="11366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2" name="Rectangle 41">
            <a:extLst>
              <a:ext uri="{FF2B5EF4-FFF2-40B4-BE49-F238E27FC236}">
                <a16:creationId xmlns:a16="http://schemas.microsoft.com/office/drawing/2014/main" xmlns="" id="{00000000-0008-0000-0B00-00002A000000}"/>
              </a:ext>
            </a:extLst>
          </xdr:cNvPr>
          <xdr:cNvSpPr>
            <a:spLocks noChangeArrowheads="1"/>
          </xdr:cNvSpPr>
        </xdr:nvSpPr>
        <xdr:spPr bwMode="auto">
          <a:xfrm>
            <a:off x="1598930" y="11461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 name="Oval 839">
            <a:extLst>
              <a:ext uri="{FF2B5EF4-FFF2-40B4-BE49-F238E27FC236}">
                <a16:creationId xmlns:a16="http://schemas.microsoft.com/office/drawing/2014/main" xmlns="" id="{00000000-0008-0000-0B00-00002B000000}"/>
              </a:ext>
            </a:extLst>
          </xdr:cNvPr>
          <xdr:cNvSpPr>
            <a:spLocks noChangeArrowheads="1"/>
          </xdr:cNvSpPr>
        </xdr:nvSpPr>
        <xdr:spPr bwMode="auto">
          <a:xfrm>
            <a:off x="1556385" y="6762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4" name="Oval 840">
            <a:extLst>
              <a:ext uri="{FF2B5EF4-FFF2-40B4-BE49-F238E27FC236}">
                <a16:creationId xmlns:a16="http://schemas.microsoft.com/office/drawing/2014/main" xmlns="" id="{00000000-0008-0000-0B00-00002C000000}"/>
              </a:ext>
            </a:extLst>
          </xdr:cNvPr>
          <xdr:cNvSpPr>
            <a:spLocks noChangeArrowheads="1"/>
          </xdr:cNvSpPr>
        </xdr:nvSpPr>
        <xdr:spPr bwMode="auto">
          <a:xfrm>
            <a:off x="1556385" y="6762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5" name="Rectangle 44">
            <a:extLst>
              <a:ext uri="{FF2B5EF4-FFF2-40B4-BE49-F238E27FC236}">
                <a16:creationId xmlns:a16="http://schemas.microsoft.com/office/drawing/2014/main" xmlns="" id="{00000000-0008-0000-0B00-00002D000000}"/>
              </a:ext>
            </a:extLst>
          </xdr:cNvPr>
          <xdr:cNvSpPr>
            <a:spLocks noChangeArrowheads="1"/>
          </xdr:cNvSpPr>
        </xdr:nvSpPr>
        <xdr:spPr bwMode="auto">
          <a:xfrm>
            <a:off x="1598930" y="6921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6" name="Oval 842">
            <a:extLst>
              <a:ext uri="{FF2B5EF4-FFF2-40B4-BE49-F238E27FC236}">
                <a16:creationId xmlns:a16="http://schemas.microsoft.com/office/drawing/2014/main" xmlns="" id="{00000000-0008-0000-0B00-00002E000000}"/>
              </a:ext>
            </a:extLst>
          </xdr:cNvPr>
          <xdr:cNvSpPr>
            <a:spLocks noChangeArrowheads="1"/>
          </xdr:cNvSpPr>
        </xdr:nvSpPr>
        <xdr:spPr bwMode="auto">
          <a:xfrm>
            <a:off x="4064000" y="11404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47" name="Oval 843">
            <a:extLst>
              <a:ext uri="{FF2B5EF4-FFF2-40B4-BE49-F238E27FC236}">
                <a16:creationId xmlns:a16="http://schemas.microsoft.com/office/drawing/2014/main" xmlns="" id="{00000000-0008-0000-0B00-00002F000000}"/>
              </a:ext>
            </a:extLst>
          </xdr:cNvPr>
          <xdr:cNvSpPr>
            <a:spLocks noChangeArrowheads="1"/>
          </xdr:cNvSpPr>
        </xdr:nvSpPr>
        <xdr:spPr bwMode="auto">
          <a:xfrm>
            <a:off x="4064000" y="11404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48" name="Rectangle 47">
            <a:extLst>
              <a:ext uri="{FF2B5EF4-FFF2-40B4-BE49-F238E27FC236}">
                <a16:creationId xmlns:a16="http://schemas.microsoft.com/office/drawing/2014/main" xmlns="" id="{00000000-0008-0000-0B00-000030000000}"/>
              </a:ext>
            </a:extLst>
          </xdr:cNvPr>
          <xdr:cNvSpPr>
            <a:spLocks noChangeArrowheads="1"/>
          </xdr:cNvSpPr>
        </xdr:nvSpPr>
        <xdr:spPr bwMode="auto">
          <a:xfrm>
            <a:off x="4107180" y="11499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9" name="Oval 845">
            <a:extLst>
              <a:ext uri="{FF2B5EF4-FFF2-40B4-BE49-F238E27FC236}">
                <a16:creationId xmlns:a16="http://schemas.microsoft.com/office/drawing/2014/main" xmlns="" id="{00000000-0008-0000-0B00-000031000000}"/>
              </a:ext>
            </a:extLst>
          </xdr:cNvPr>
          <xdr:cNvSpPr>
            <a:spLocks noChangeArrowheads="1"/>
          </xdr:cNvSpPr>
        </xdr:nvSpPr>
        <xdr:spPr bwMode="auto">
          <a:xfrm>
            <a:off x="4064000" y="6807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50" name="Oval 846">
            <a:extLst>
              <a:ext uri="{FF2B5EF4-FFF2-40B4-BE49-F238E27FC236}">
                <a16:creationId xmlns:a16="http://schemas.microsoft.com/office/drawing/2014/main" xmlns="" id="{00000000-0008-0000-0B00-000032000000}"/>
              </a:ext>
            </a:extLst>
          </xdr:cNvPr>
          <xdr:cNvSpPr>
            <a:spLocks noChangeArrowheads="1"/>
          </xdr:cNvSpPr>
        </xdr:nvSpPr>
        <xdr:spPr bwMode="auto">
          <a:xfrm>
            <a:off x="4064000" y="6807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1" name="Rectangle 50">
            <a:extLst>
              <a:ext uri="{FF2B5EF4-FFF2-40B4-BE49-F238E27FC236}">
                <a16:creationId xmlns:a16="http://schemas.microsoft.com/office/drawing/2014/main" xmlns="" id="{00000000-0008-0000-0B00-000033000000}"/>
              </a:ext>
            </a:extLst>
          </xdr:cNvPr>
          <xdr:cNvSpPr>
            <a:spLocks noChangeArrowheads="1"/>
          </xdr:cNvSpPr>
        </xdr:nvSpPr>
        <xdr:spPr bwMode="auto">
          <a:xfrm>
            <a:off x="4107180" y="6953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2" name="Freeform 848">
            <a:extLst>
              <a:ext uri="{FF2B5EF4-FFF2-40B4-BE49-F238E27FC236}">
                <a16:creationId xmlns:a16="http://schemas.microsoft.com/office/drawing/2014/main" xmlns="" id="{00000000-0008-0000-0B00-000034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3" name="Freeform 849">
            <a:extLst>
              <a:ext uri="{FF2B5EF4-FFF2-40B4-BE49-F238E27FC236}">
                <a16:creationId xmlns:a16="http://schemas.microsoft.com/office/drawing/2014/main" xmlns="" id="{00000000-0008-0000-0B00-000035000000}"/>
              </a:ext>
            </a:extLst>
          </xdr:cNvPr>
          <xdr:cNvSpPr>
            <a:spLocks/>
          </xdr:cNvSpPr>
        </xdr:nvSpPr>
        <xdr:spPr bwMode="auto">
          <a:xfrm>
            <a:off x="4879340" y="9061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4" name="Rectangle 53">
            <a:extLst>
              <a:ext uri="{FF2B5EF4-FFF2-40B4-BE49-F238E27FC236}">
                <a16:creationId xmlns:a16="http://schemas.microsoft.com/office/drawing/2014/main" xmlns="" id="{00000000-0008-0000-0B00-000036000000}"/>
              </a:ext>
            </a:extLst>
          </xdr:cNvPr>
          <xdr:cNvSpPr>
            <a:spLocks noChangeArrowheads="1"/>
          </xdr:cNvSpPr>
        </xdr:nvSpPr>
        <xdr:spPr bwMode="auto">
          <a:xfrm>
            <a:off x="4988560" y="927734"/>
            <a:ext cx="353060" cy="16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3</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55" name="Freeform 851">
            <a:extLst>
              <a:ext uri="{FF2B5EF4-FFF2-40B4-BE49-F238E27FC236}">
                <a16:creationId xmlns:a16="http://schemas.microsoft.com/office/drawing/2014/main" xmlns="" id="{00000000-0008-0000-0B00-000037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56" name="Freeform 852">
            <a:extLst>
              <a:ext uri="{FF2B5EF4-FFF2-40B4-BE49-F238E27FC236}">
                <a16:creationId xmlns:a16="http://schemas.microsoft.com/office/drawing/2014/main" xmlns="" id="{00000000-0008-0000-0B00-000038000000}"/>
              </a:ext>
            </a:extLst>
          </xdr:cNvPr>
          <xdr:cNvSpPr>
            <a:spLocks/>
          </xdr:cNvSpPr>
        </xdr:nvSpPr>
        <xdr:spPr bwMode="auto">
          <a:xfrm>
            <a:off x="1917065" y="8947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57" name="Rectangle 56">
            <a:extLst>
              <a:ext uri="{FF2B5EF4-FFF2-40B4-BE49-F238E27FC236}">
                <a16:creationId xmlns:a16="http://schemas.microsoft.com/office/drawing/2014/main" xmlns="" id="{00000000-0008-0000-0B00-000039000000}"/>
              </a:ext>
            </a:extLst>
          </xdr:cNvPr>
          <xdr:cNvSpPr>
            <a:spLocks noChangeArrowheads="1"/>
          </xdr:cNvSpPr>
        </xdr:nvSpPr>
        <xdr:spPr bwMode="auto">
          <a:xfrm>
            <a:off x="2022474" y="920114"/>
            <a:ext cx="377826" cy="15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4</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58" name="Line 854">
            <a:extLst>
              <a:ext uri="{FF2B5EF4-FFF2-40B4-BE49-F238E27FC236}">
                <a16:creationId xmlns:a16="http://schemas.microsoft.com/office/drawing/2014/main" xmlns="" id="{00000000-0008-0000-0B00-00003A000000}"/>
              </a:ext>
            </a:extLst>
          </xdr:cNvPr>
          <xdr:cNvCxnSpPr/>
        </xdr:nvCxnSpPr>
        <xdr:spPr bwMode="auto">
          <a:xfrm>
            <a:off x="5102225" y="7366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59" name="Line 855">
            <a:extLst>
              <a:ext uri="{FF2B5EF4-FFF2-40B4-BE49-F238E27FC236}">
                <a16:creationId xmlns:a16="http://schemas.microsoft.com/office/drawing/2014/main" xmlns="" id="{00000000-0008-0000-0B00-00003B000000}"/>
              </a:ext>
            </a:extLst>
          </xdr:cNvPr>
          <xdr:cNvCxnSpPr/>
        </xdr:nvCxnSpPr>
        <xdr:spPr bwMode="auto">
          <a:xfrm>
            <a:off x="2141220" y="7366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60" name="Rectangle 59">
            <a:extLst>
              <a:ext uri="{FF2B5EF4-FFF2-40B4-BE49-F238E27FC236}">
                <a16:creationId xmlns:a16="http://schemas.microsoft.com/office/drawing/2014/main" xmlns="" id="{00000000-0008-0000-0B00-00003C000000}"/>
              </a:ext>
            </a:extLst>
          </xdr:cNvPr>
          <xdr:cNvSpPr>
            <a:spLocks noChangeArrowheads="1"/>
          </xdr:cNvSpPr>
        </xdr:nvSpPr>
        <xdr:spPr bwMode="auto">
          <a:xfrm>
            <a:off x="2607310" y="1028700"/>
            <a:ext cx="1216026" cy="3378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fr-FR" sz="8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 appoint éventuel)</a:t>
            </a:r>
            <a:endParaRPr lang="fr-FR" sz="9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1" name="Rectangle 60">
            <a:extLst>
              <a:ext uri="{FF2B5EF4-FFF2-40B4-BE49-F238E27FC236}">
                <a16:creationId xmlns:a16="http://schemas.microsoft.com/office/drawing/2014/main" xmlns="" id="{00000000-0008-0000-0B00-00003D000000}"/>
              </a:ext>
            </a:extLst>
          </xdr:cNvPr>
          <xdr:cNvSpPr>
            <a:spLocks noChangeArrowheads="1"/>
          </xdr:cNvSpPr>
        </xdr:nvSpPr>
        <xdr:spPr bwMode="auto">
          <a:xfrm>
            <a:off x="2672715" y="10217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2" name="Rectangle 61">
            <a:extLst>
              <a:ext uri="{FF2B5EF4-FFF2-40B4-BE49-F238E27FC236}">
                <a16:creationId xmlns:a16="http://schemas.microsoft.com/office/drawing/2014/main" xmlns="" id="{00000000-0008-0000-0B00-00003E000000}"/>
              </a:ext>
            </a:extLst>
          </xdr:cNvPr>
          <xdr:cNvSpPr>
            <a:spLocks noChangeArrowheads="1"/>
          </xdr:cNvSpPr>
        </xdr:nvSpPr>
        <xdr:spPr bwMode="auto">
          <a:xfrm>
            <a:off x="3645535" y="1146175"/>
            <a:ext cx="3556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2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3" name="Freeform 861">
            <a:extLst>
              <a:ext uri="{FF2B5EF4-FFF2-40B4-BE49-F238E27FC236}">
                <a16:creationId xmlns:a16="http://schemas.microsoft.com/office/drawing/2014/main" xmlns="" id="{00000000-0008-0000-0B00-00003F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4" name="Freeform 862">
            <a:extLst>
              <a:ext uri="{FF2B5EF4-FFF2-40B4-BE49-F238E27FC236}">
                <a16:creationId xmlns:a16="http://schemas.microsoft.com/office/drawing/2014/main" xmlns="" id="{00000000-0008-0000-0B00-000040000000}"/>
              </a:ext>
            </a:extLst>
          </xdr:cNvPr>
          <xdr:cNvSpPr>
            <a:spLocks/>
          </xdr:cNvSpPr>
        </xdr:nvSpPr>
        <xdr:spPr bwMode="auto">
          <a:xfrm>
            <a:off x="29210" y="18021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5" name="Rectangle 64">
            <a:extLst>
              <a:ext uri="{FF2B5EF4-FFF2-40B4-BE49-F238E27FC236}">
                <a16:creationId xmlns:a16="http://schemas.microsoft.com/office/drawing/2014/main" xmlns="" id="{00000000-0008-0000-0B00-000041000000}"/>
              </a:ext>
            </a:extLst>
          </xdr:cNvPr>
          <xdr:cNvSpPr>
            <a:spLocks noChangeArrowheads="1"/>
          </xdr:cNvSpPr>
        </xdr:nvSpPr>
        <xdr:spPr bwMode="auto">
          <a:xfrm>
            <a:off x="130810" y="1827530"/>
            <a:ext cx="232410"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6" name="Freeform 864">
            <a:extLst>
              <a:ext uri="{FF2B5EF4-FFF2-40B4-BE49-F238E27FC236}">
                <a16:creationId xmlns:a16="http://schemas.microsoft.com/office/drawing/2014/main" xmlns="" id="{00000000-0008-0000-0B00-000042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67" name="Freeform 865">
            <a:extLst>
              <a:ext uri="{FF2B5EF4-FFF2-40B4-BE49-F238E27FC236}">
                <a16:creationId xmlns:a16="http://schemas.microsoft.com/office/drawing/2014/main" xmlns="" id="{00000000-0008-0000-0B00-000043000000}"/>
              </a:ext>
            </a:extLst>
          </xdr:cNvPr>
          <xdr:cNvSpPr>
            <a:spLocks/>
          </xdr:cNvSpPr>
        </xdr:nvSpPr>
        <xdr:spPr bwMode="auto">
          <a:xfrm>
            <a:off x="29210" y="21088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68" name="Rectangle 67">
            <a:extLst>
              <a:ext uri="{FF2B5EF4-FFF2-40B4-BE49-F238E27FC236}">
                <a16:creationId xmlns:a16="http://schemas.microsoft.com/office/drawing/2014/main" xmlns="" id="{00000000-0008-0000-0B00-000044000000}"/>
              </a:ext>
            </a:extLst>
          </xdr:cNvPr>
          <xdr:cNvSpPr>
            <a:spLocks noChangeArrowheads="1"/>
          </xdr:cNvSpPr>
        </xdr:nvSpPr>
        <xdr:spPr bwMode="auto">
          <a:xfrm>
            <a:off x="130810" y="2136140"/>
            <a:ext cx="23749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69" name="Oval 867">
            <a:extLst>
              <a:ext uri="{FF2B5EF4-FFF2-40B4-BE49-F238E27FC236}">
                <a16:creationId xmlns:a16="http://schemas.microsoft.com/office/drawing/2014/main" xmlns="" id="{00000000-0008-0000-0B00-000045000000}"/>
              </a:ext>
            </a:extLst>
          </xdr:cNvPr>
          <xdr:cNvSpPr>
            <a:spLocks noChangeArrowheads="1"/>
          </xdr:cNvSpPr>
        </xdr:nvSpPr>
        <xdr:spPr bwMode="auto">
          <a:xfrm>
            <a:off x="175260" y="24269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50"/>
          </a:p>
        </xdr:txBody>
      </xdr:sp>
      <xdr:sp macro="" textlink="">
        <xdr:nvSpPr>
          <xdr:cNvPr id="70" name="Freeform 868">
            <a:extLst>
              <a:ext uri="{FF2B5EF4-FFF2-40B4-BE49-F238E27FC236}">
                <a16:creationId xmlns:a16="http://schemas.microsoft.com/office/drawing/2014/main" xmlns="" id="{00000000-0008-0000-0B00-000046000000}"/>
              </a:ext>
            </a:extLst>
          </xdr:cNvPr>
          <xdr:cNvSpPr>
            <a:spLocks/>
          </xdr:cNvSpPr>
        </xdr:nvSpPr>
        <xdr:spPr bwMode="auto">
          <a:xfrm>
            <a:off x="175260" y="24269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1" name="Rectangle 70">
            <a:extLst>
              <a:ext uri="{FF2B5EF4-FFF2-40B4-BE49-F238E27FC236}">
                <a16:creationId xmlns:a16="http://schemas.microsoft.com/office/drawing/2014/main" xmlns="" id="{00000000-0008-0000-0B00-000047000000}"/>
              </a:ext>
            </a:extLst>
          </xdr:cNvPr>
          <xdr:cNvSpPr>
            <a:spLocks noChangeArrowheads="1"/>
          </xdr:cNvSpPr>
        </xdr:nvSpPr>
        <xdr:spPr bwMode="auto">
          <a:xfrm>
            <a:off x="220345" y="24364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2" name="Rectangle 71">
            <a:extLst>
              <a:ext uri="{FF2B5EF4-FFF2-40B4-BE49-F238E27FC236}">
                <a16:creationId xmlns:a16="http://schemas.microsoft.com/office/drawing/2014/main" xmlns="" id="{00000000-0008-0000-0B00-000048000000}"/>
              </a:ext>
            </a:extLst>
          </xdr:cNvPr>
          <xdr:cNvSpPr>
            <a:spLocks noChangeArrowheads="1"/>
          </xdr:cNvSpPr>
        </xdr:nvSpPr>
        <xdr:spPr bwMode="auto">
          <a:xfrm>
            <a:off x="605155" y="18262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3" name="Rectangle 72">
            <a:extLst>
              <a:ext uri="{FF2B5EF4-FFF2-40B4-BE49-F238E27FC236}">
                <a16:creationId xmlns:a16="http://schemas.microsoft.com/office/drawing/2014/main" xmlns="" id="{00000000-0008-0000-0B00-000049000000}"/>
              </a:ext>
            </a:extLst>
          </xdr:cNvPr>
          <xdr:cNvSpPr>
            <a:spLocks noChangeArrowheads="1"/>
          </xdr:cNvSpPr>
        </xdr:nvSpPr>
        <xdr:spPr bwMode="auto">
          <a:xfrm>
            <a:off x="605155" y="18262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4" name="Rectangle 73">
            <a:extLst>
              <a:ext uri="{FF2B5EF4-FFF2-40B4-BE49-F238E27FC236}">
                <a16:creationId xmlns:a16="http://schemas.microsoft.com/office/drawing/2014/main" xmlns="" id="{00000000-0008-0000-0B00-00004A000000}"/>
              </a:ext>
            </a:extLst>
          </xdr:cNvPr>
          <xdr:cNvSpPr>
            <a:spLocks noChangeArrowheads="1"/>
          </xdr:cNvSpPr>
        </xdr:nvSpPr>
        <xdr:spPr bwMode="auto">
          <a:xfrm>
            <a:off x="643890" y="18288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5" name="Rectangle 74">
            <a:extLst>
              <a:ext uri="{FF2B5EF4-FFF2-40B4-BE49-F238E27FC236}">
                <a16:creationId xmlns:a16="http://schemas.microsoft.com/office/drawing/2014/main" xmlns="" id="{00000000-0008-0000-0B00-00004B000000}"/>
              </a:ext>
            </a:extLst>
          </xdr:cNvPr>
          <xdr:cNvSpPr>
            <a:spLocks noChangeArrowheads="1"/>
          </xdr:cNvSpPr>
        </xdr:nvSpPr>
        <xdr:spPr bwMode="auto">
          <a:xfrm>
            <a:off x="617220" y="24390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6" name="Rectangle 75">
            <a:extLst>
              <a:ext uri="{FF2B5EF4-FFF2-40B4-BE49-F238E27FC236}">
                <a16:creationId xmlns:a16="http://schemas.microsoft.com/office/drawing/2014/main" xmlns="" id="{00000000-0008-0000-0B00-00004C000000}"/>
              </a:ext>
            </a:extLst>
          </xdr:cNvPr>
          <xdr:cNvSpPr>
            <a:spLocks noChangeArrowheads="1"/>
          </xdr:cNvSpPr>
        </xdr:nvSpPr>
        <xdr:spPr bwMode="auto">
          <a:xfrm>
            <a:off x="617220" y="24390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77" name="Rectangle 76">
            <a:extLst>
              <a:ext uri="{FF2B5EF4-FFF2-40B4-BE49-F238E27FC236}">
                <a16:creationId xmlns:a16="http://schemas.microsoft.com/office/drawing/2014/main" xmlns="" id="{00000000-0008-0000-0B00-00004D000000}"/>
              </a:ext>
            </a:extLst>
          </xdr:cNvPr>
          <xdr:cNvSpPr>
            <a:spLocks noChangeArrowheads="1"/>
          </xdr:cNvSpPr>
        </xdr:nvSpPr>
        <xdr:spPr bwMode="auto">
          <a:xfrm>
            <a:off x="652780" y="24669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78" name="Rectangle 77">
            <a:extLst>
              <a:ext uri="{FF2B5EF4-FFF2-40B4-BE49-F238E27FC236}">
                <a16:creationId xmlns:a16="http://schemas.microsoft.com/office/drawing/2014/main" xmlns="" id="{00000000-0008-0000-0B00-00004E000000}"/>
              </a:ext>
            </a:extLst>
          </xdr:cNvPr>
          <xdr:cNvSpPr>
            <a:spLocks noChangeArrowheads="1"/>
          </xdr:cNvSpPr>
        </xdr:nvSpPr>
        <xdr:spPr bwMode="auto">
          <a:xfrm>
            <a:off x="610235" y="21329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79" name="Rectangle 78">
            <a:extLst>
              <a:ext uri="{FF2B5EF4-FFF2-40B4-BE49-F238E27FC236}">
                <a16:creationId xmlns:a16="http://schemas.microsoft.com/office/drawing/2014/main" xmlns="" id="{00000000-0008-0000-0B00-00004F000000}"/>
              </a:ext>
            </a:extLst>
          </xdr:cNvPr>
          <xdr:cNvSpPr>
            <a:spLocks noChangeArrowheads="1"/>
          </xdr:cNvSpPr>
        </xdr:nvSpPr>
        <xdr:spPr bwMode="auto">
          <a:xfrm>
            <a:off x="610235" y="21329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0" name="Rectangle 79">
            <a:extLst>
              <a:ext uri="{FF2B5EF4-FFF2-40B4-BE49-F238E27FC236}">
                <a16:creationId xmlns:a16="http://schemas.microsoft.com/office/drawing/2014/main" xmlns="" id="{00000000-0008-0000-0B00-000050000000}"/>
              </a:ext>
            </a:extLst>
          </xdr:cNvPr>
          <xdr:cNvSpPr>
            <a:spLocks noChangeArrowheads="1"/>
          </xdr:cNvSpPr>
        </xdr:nvSpPr>
        <xdr:spPr bwMode="auto">
          <a:xfrm>
            <a:off x="652780" y="2171700"/>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81" name="Freeform 879">
            <a:extLst>
              <a:ext uri="{FF2B5EF4-FFF2-40B4-BE49-F238E27FC236}">
                <a16:creationId xmlns:a16="http://schemas.microsoft.com/office/drawing/2014/main" xmlns="" id="{00000000-0008-0000-0B00-000051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2" name="Freeform 880">
            <a:extLst>
              <a:ext uri="{FF2B5EF4-FFF2-40B4-BE49-F238E27FC236}">
                <a16:creationId xmlns:a16="http://schemas.microsoft.com/office/drawing/2014/main" xmlns="" id="{00000000-0008-0000-0B00-000052000000}"/>
              </a:ext>
            </a:extLst>
          </xdr:cNvPr>
          <xdr:cNvSpPr>
            <a:spLocks/>
          </xdr:cNvSpPr>
        </xdr:nvSpPr>
        <xdr:spPr bwMode="auto">
          <a:xfrm>
            <a:off x="2607310" y="18262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3" name="Rectangle 82">
            <a:extLst>
              <a:ext uri="{FF2B5EF4-FFF2-40B4-BE49-F238E27FC236}">
                <a16:creationId xmlns:a16="http://schemas.microsoft.com/office/drawing/2014/main" xmlns="" id="{00000000-0008-0000-0B00-000053000000}"/>
              </a:ext>
            </a:extLst>
          </xdr:cNvPr>
          <xdr:cNvSpPr>
            <a:spLocks noChangeArrowheads="1"/>
          </xdr:cNvSpPr>
        </xdr:nvSpPr>
        <xdr:spPr bwMode="auto">
          <a:xfrm>
            <a:off x="2715895" y="1852295"/>
            <a:ext cx="34734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1</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4" name="Line 882">
            <a:extLst>
              <a:ext uri="{FF2B5EF4-FFF2-40B4-BE49-F238E27FC236}">
                <a16:creationId xmlns:a16="http://schemas.microsoft.com/office/drawing/2014/main" xmlns="" id="{00000000-0008-0000-0B00-000054000000}"/>
              </a:ext>
            </a:extLst>
          </xdr:cNvPr>
          <xdr:cNvCxnSpPr/>
        </xdr:nvCxnSpPr>
        <xdr:spPr bwMode="auto">
          <a:xfrm flipV="1">
            <a:off x="2831465" y="1673225"/>
            <a:ext cx="635"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85" name="Freeform 883">
            <a:extLst>
              <a:ext uri="{FF2B5EF4-FFF2-40B4-BE49-F238E27FC236}">
                <a16:creationId xmlns:a16="http://schemas.microsoft.com/office/drawing/2014/main" xmlns="" id="{00000000-0008-0000-0B00-000055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50"/>
          </a:p>
        </xdr:txBody>
      </xdr:sp>
      <xdr:sp macro="" textlink="">
        <xdr:nvSpPr>
          <xdr:cNvPr id="86" name="Freeform 884">
            <a:extLst>
              <a:ext uri="{FF2B5EF4-FFF2-40B4-BE49-F238E27FC236}">
                <a16:creationId xmlns:a16="http://schemas.microsoft.com/office/drawing/2014/main" xmlns="" id="{00000000-0008-0000-0B00-000056000000}"/>
              </a:ext>
            </a:extLst>
          </xdr:cNvPr>
          <xdr:cNvSpPr>
            <a:spLocks/>
          </xdr:cNvSpPr>
        </xdr:nvSpPr>
        <xdr:spPr bwMode="auto">
          <a:xfrm>
            <a:off x="3364230" y="18262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87" name="Rectangle 86">
            <a:extLst>
              <a:ext uri="{FF2B5EF4-FFF2-40B4-BE49-F238E27FC236}">
                <a16:creationId xmlns:a16="http://schemas.microsoft.com/office/drawing/2014/main" xmlns="" id="{00000000-0008-0000-0B00-000057000000}"/>
              </a:ext>
            </a:extLst>
          </xdr:cNvPr>
          <xdr:cNvSpPr>
            <a:spLocks noChangeArrowheads="1"/>
          </xdr:cNvSpPr>
        </xdr:nvSpPr>
        <xdr:spPr bwMode="auto">
          <a:xfrm>
            <a:off x="3466464" y="1852294"/>
            <a:ext cx="396875" cy="182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 2</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88" name="Line 886">
            <a:extLst>
              <a:ext uri="{FF2B5EF4-FFF2-40B4-BE49-F238E27FC236}">
                <a16:creationId xmlns:a16="http://schemas.microsoft.com/office/drawing/2014/main" xmlns="" id="{00000000-0008-0000-0B00-000058000000}"/>
              </a:ext>
            </a:extLst>
          </xdr:cNvPr>
          <xdr:cNvCxnSpPr/>
        </xdr:nvCxnSpPr>
        <xdr:spPr bwMode="auto">
          <a:xfrm flipV="1">
            <a:off x="3586480" y="1673225"/>
            <a:ext cx="1270" cy="15303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89" name="Rectangle 88">
            <a:extLst>
              <a:ext uri="{FF2B5EF4-FFF2-40B4-BE49-F238E27FC236}">
                <a16:creationId xmlns:a16="http://schemas.microsoft.com/office/drawing/2014/main" xmlns="" id="{00000000-0008-0000-0B00-000059000000}"/>
              </a:ext>
            </a:extLst>
          </xdr:cNvPr>
          <xdr:cNvSpPr>
            <a:spLocks noChangeArrowheads="1"/>
          </xdr:cNvSpPr>
        </xdr:nvSpPr>
        <xdr:spPr bwMode="auto">
          <a:xfrm>
            <a:off x="2677795" y="20567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0" name="Rectangle 89">
            <a:extLst>
              <a:ext uri="{FF2B5EF4-FFF2-40B4-BE49-F238E27FC236}">
                <a16:creationId xmlns:a16="http://schemas.microsoft.com/office/drawing/2014/main" xmlns="" id="{00000000-0008-0000-0B00-00005A000000}"/>
              </a:ext>
            </a:extLst>
          </xdr:cNvPr>
          <xdr:cNvSpPr>
            <a:spLocks noChangeArrowheads="1"/>
          </xdr:cNvSpPr>
        </xdr:nvSpPr>
        <xdr:spPr bwMode="auto">
          <a:xfrm>
            <a:off x="2677795" y="20567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1" name="Rectangle 90">
            <a:extLst>
              <a:ext uri="{FF2B5EF4-FFF2-40B4-BE49-F238E27FC236}">
                <a16:creationId xmlns:a16="http://schemas.microsoft.com/office/drawing/2014/main" xmlns="" id="{00000000-0008-0000-0B00-00005B000000}"/>
              </a:ext>
            </a:extLst>
          </xdr:cNvPr>
          <xdr:cNvSpPr>
            <a:spLocks noChangeArrowheads="1"/>
          </xdr:cNvSpPr>
        </xdr:nvSpPr>
        <xdr:spPr bwMode="auto">
          <a:xfrm>
            <a:off x="2715895" y="20713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92" name="Rectangle 91">
            <a:extLst>
              <a:ext uri="{FF2B5EF4-FFF2-40B4-BE49-F238E27FC236}">
                <a16:creationId xmlns:a16="http://schemas.microsoft.com/office/drawing/2014/main" xmlns="" id="{00000000-0008-0000-0B00-00005C000000}"/>
              </a:ext>
            </a:extLst>
          </xdr:cNvPr>
          <xdr:cNvSpPr>
            <a:spLocks noChangeArrowheads="1"/>
          </xdr:cNvSpPr>
        </xdr:nvSpPr>
        <xdr:spPr bwMode="auto">
          <a:xfrm>
            <a:off x="3364230" y="20567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93" name="Rectangle 92">
            <a:extLst>
              <a:ext uri="{FF2B5EF4-FFF2-40B4-BE49-F238E27FC236}">
                <a16:creationId xmlns:a16="http://schemas.microsoft.com/office/drawing/2014/main" xmlns="" id="{00000000-0008-0000-0B00-00005D000000}"/>
              </a:ext>
            </a:extLst>
          </xdr:cNvPr>
          <xdr:cNvSpPr>
            <a:spLocks noChangeArrowheads="1"/>
          </xdr:cNvSpPr>
        </xdr:nvSpPr>
        <xdr:spPr bwMode="auto">
          <a:xfrm>
            <a:off x="3364230" y="20574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50"/>
          </a:p>
        </xdr:txBody>
      </xdr:sp>
      <xdr:sp macro="" textlink="">
        <xdr:nvSpPr>
          <xdr:cNvPr id="94" name="Rectangle 93">
            <a:extLst>
              <a:ext uri="{FF2B5EF4-FFF2-40B4-BE49-F238E27FC236}">
                <a16:creationId xmlns:a16="http://schemas.microsoft.com/office/drawing/2014/main" xmlns="" id="{00000000-0008-0000-0B00-00005E000000}"/>
              </a:ext>
            </a:extLst>
          </xdr:cNvPr>
          <xdr:cNvSpPr>
            <a:spLocks noChangeArrowheads="1"/>
          </xdr:cNvSpPr>
        </xdr:nvSpPr>
        <xdr:spPr bwMode="auto">
          <a:xfrm>
            <a:off x="3409950" y="20713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9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95" name="Line 893">
            <a:extLst>
              <a:ext uri="{FF2B5EF4-FFF2-40B4-BE49-F238E27FC236}">
                <a16:creationId xmlns:a16="http://schemas.microsoft.com/office/drawing/2014/main" xmlns="" id="{00000000-0008-0000-0B00-00005F000000}"/>
              </a:ext>
            </a:extLst>
          </xdr:cNvPr>
          <xdr:cNvCxnSpPr/>
        </xdr:nvCxnSpPr>
        <xdr:spPr bwMode="auto">
          <a:xfrm>
            <a:off x="4721860" y="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0</xdr:colOff>
      <xdr:row>44</xdr:row>
      <xdr:rowOff>0</xdr:rowOff>
    </xdr:from>
    <xdr:to>
      <xdr:col>12</xdr:col>
      <xdr:colOff>695325</xdr:colOff>
      <xdr:row>71</xdr:row>
      <xdr:rowOff>9525</xdr:rowOff>
    </xdr:to>
    <xdr:grpSp>
      <xdr:nvGrpSpPr>
        <xdr:cNvPr id="96" name="Zone de dessin 894">
          <a:extLst>
            <a:ext uri="{FF2B5EF4-FFF2-40B4-BE49-F238E27FC236}">
              <a16:creationId xmlns:a16="http://schemas.microsoft.com/office/drawing/2014/main" xmlns="" id="{00000000-0008-0000-0B00-000060000000}"/>
            </a:ext>
          </a:extLst>
        </xdr:cNvPr>
        <xdr:cNvGrpSpPr/>
      </xdr:nvGrpSpPr>
      <xdr:grpSpPr>
        <a:xfrm>
          <a:off x="3048000" y="8504464"/>
          <a:ext cx="6791325" cy="5153025"/>
          <a:chOff x="0" y="0"/>
          <a:chExt cx="6479540" cy="3268345"/>
        </a:xfrm>
      </xdr:grpSpPr>
      <xdr:sp macro="" textlink="">
        <xdr:nvSpPr>
          <xdr:cNvPr id="97" name="Rectangle 96">
            <a:extLst>
              <a:ext uri="{FF2B5EF4-FFF2-40B4-BE49-F238E27FC236}">
                <a16:creationId xmlns:a16="http://schemas.microsoft.com/office/drawing/2014/main" xmlns="" id="{00000000-0008-0000-0B00-000061000000}"/>
              </a:ext>
            </a:extLst>
          </xdr:cNvPr>
          <xdr:cNvSpPr/>
        </xdr:nvSpPr>
        <xdr:spPr>
          <a:xfrm>
            <a:off x="0" y="0"/>
            <a:ext cx="6479540" cy="3268345"/>
          </a:xfrm>
          <a:prstGeom prst="rect">
            <a:avLst/>
          </a:prstGeom>
          <a:noFill/>
          <a:ln>
            <a:noFill/>
          </a:ln>
        </xdr:spPr>
      </xdr:sp>
      <xdr:sp macro="" textlink="">
        <xdr:nvSpPr>
          <xdr:cNvPr id="98" name="AutoShape 896">
            <a:extLst>
              <a:ext uri="{FF2B5EF4-FFF2-40B4-BE49-F238E27FC236}">
                <a16:creationId xmlns:a16="http://schemas.microsoft.com/office/drawing/2014/main" xmlns="" id="{00000000-0008-0000-0B00-000062000000}"/>
              </a:ext>
            </a:extLst>
          </xdr:cNvPr>
          <xdr:cNvSpPr>
            <a:spLocks noChangeAspect="1" noChangeArrowheads="1"/>
          </xdr:cNvSpPr>
        </xdr:nvSpPr>
        <xdr:spPr bwMode="auto">
          <a:xfrm>
            <a:off x="0" y="31877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99" name="Rectangle 98">
            <a:extLst>
              <a:ext uri="{FF2B5EF4-FFF2-40B4-BE49-F238E27FC236}">
                <a16:creationId xmlns:a16="http://schemas.microsoft.com/office/drawing/2014/main" xmlns="" id="{00000000-0008-0000-0B00-000063000000}"/>
              </a:ext>
            </a:extLst>
          </xdr:cNvPr>
          <xdr:cNvSpPr>
            <a:spLocks noChangeArrowheads="1"/>
          </xdr:cNvSpPr>
        </xdr:nvSpPr>
        <xdr:spPr bwMode="auto">
          <a:xfrm>
            <a:off x="2595245" y="33401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00" name="Rectangle 99">
            <a:extLst>
              <a:ext uri="{FF2B5EF4-FFF2-40B4-BE49-F238E27FC236}">
                <a16:creationId xmlns:a16="http://schemas.microsoft.com/office/drawing/2014/main" xmlns="" id="{00000000-0008-0000-0B00-000064000000}"/>
              </a:ext>
            </a:extLst>
          </xdr:cNvPr>
          <xdr:cNvSpPr>
            <a:spLocks noChangeArrowheads="1"/>
          </xdr:cNvSpPr>
        </xdr:nvSpPr>
        <xdr:spPr bwMode="auto">
          <a:xfrm>
            <a:off x="2595245" y="33401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01" name="Rectangle 100">
            <a:extLst>
              <a:ext uri="{FF2B5EF4-FFF2-40B4-BE49-F238E27FC236}">
                <a16:creationId xmlns:a16="http://schemas.microsoft.com/office/drawing/2014/main" xmlns="" id="{00000000-0008-0000-0B00-000065000000}"/>
              </a:ext>
            </a:extLst>
          </xdr:cNvPr>
          <xdr:cNvSpPr>
            <a:spLocks noChangeArrowheads="1"/>
          </xdr:cNvSpPr>
        </xdr:nvSpPr>
        <xdr:spPr bwMode="auto">
          <a:xfrm>
            <a:off x="2936240" y="1143000"/>
            <a:ext cx="721360"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02" name="Line 900">
            <a:extLst>
              <a:ext uri="{FF2B5EF4-FFF2-40B4-BE49-F238E27FC236}">
                <a16:creationId xmlns:a16="http://schemas.microsoft.com/office/drawing/2014/main" xmlns="" id="{00000000-0008-0000-0B00-000066000000}"/>
              </a:ext>
            </a:extLst>
          </xdr:cNvPr>
          <xdr:cNvCxnSpPr/>
        </xdr:nvCxnSpPr>
        <xdr:spPr bwMode="auto">
          <a:xfrm>
            <a:off x="3829050" y="48704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3" name="Line 901">
            <a:extLst>
              <a:ext uri="{FF2B5EF4-FFF2-40B4-BE49-F238E27FC236}">
                <a16:creationId xmlns:a16="http://schemas.microsoft.com/office/drawing/2014/main" xmlns="" id="{00000000-0008-0000-0B00-000067000000}"/>
              </a:ext>
            </a:extLst>
          </xdr:cNvPr>
          <xdr:cNvCxnSpPr/>
        </xdr:nvCxnSpPr>
        <xdr:spPr bwMode="auto">
          <a:xfrm flipH="1">
            <a:off x="3909060" y="125730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4" name="Freeform 902">
            <a:extLst>
              <a:ext uri="{FF2B5EF4-FFF2-40B4-BE49-F238E27FC236}">
                <a16:creationId xmlns:a16="http://schemas.microsoft.com/office/drawing/2014/main" xmlns="" id="{00000000-0008-0000-0B00-000068000000}"/>
              </a:ext>
            </a:extLst>
          </xdr:cNvPr>
          <xdr:cNvSpPr>
            <a:spLocks/>
          </xdr:cNvSpPr>
        </xdr:nvSpPr>
        <xdr:spPr bwMode="auto">
          <a:xfrm>
            <a:off x="3829050" y="121158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5" name="Line 903">
            <a:extLst>
              <a:ext uri="{FF2B5EF4-FFF2-40B4-BE49-F238E27FC236}">
                <a16:creationId xmlns:a16="http://schemas.microsoft.com/office/drawing/2014/main" xmlns="" id="{00000000-0008-0000-0B00-000069000000}"/>
              </a:ext>
            </a:extLst>
          </xdr:cNvPr>
          <xdr:cNvCxnSpPr/>
        </xdr:nvCxnSpPr>
        <xdr:spPr bwMode="auto">
          <a:xfrm flipH="1">
            <a:off x="3909060" y="248793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6" name="Freeform 904">
            <a:extLst>
              <a:ext uri="{FF2B5EF4-FFF2-40B4-BE49-F238E27FC236}">
                <a16:creationId xmlns:a16="http://schemas.microsoft.com/office/drawing/2014/main" xmlns="" id="{00000000-0008-0000-0B00-00006A000000}"/>
              </a:ext>
            </a:extLst>
          </xdr:cNvPr>
          <xdr:cNvSpPr>
            <a:spLocks/>
          </xdr:cNvSpPr>
        </xdr:nvSpPr>
        <xdr:spPr bwMode="auto">
          <a:xfrm>
            <a:off x="3829050" y="244157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cxnSp macro="">
        <xdr:nvCxnSpPr>
          <xdr:cNvPr id="107" name="Line 905">
            <a:extLst>
              <a:ext uri="{FF2B5EF4-FFF2-40B4-BE49-F238E27FC236}">
                <a16:creationId xmlns:a16="http://schemas.microsoft.com/office/drawing/2014/main" xmlns="" id="{00000000-0008-0000-0B00-00006B000000}"/>
              </a:ext>
            </a:extLst>
          </xdr:cNvPr>
          <xdr:cNvCxnSpPr/>
        </xdr:nvCxnSpPr>
        <xdr:spPr bwMode="auto">
          <a:xfrm>
            <a:off x="3829050" y="171894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8" name="Line 906">
            <a:extLst>
              <a:ext uri="{FF2B5EF4-FFF2-40B4-BE49-F238E27FC236}">
                <a16:creationId xmlns:a16="http://schemas.microsoft.com/office/drawing/2014/main" xmlns="" id="{00000000-0008-0000-0B00-00006C000000}"/>
              </a:ext>
            </a:extLst>
          </xdr:cNvPr>
          <xdr:cNvCxnSpPr/>
        </xdr:nvCxnSpPr>
        <xdr:spPr bwMode="auto">
          <a:xfrm flipH="1">
            <a:off x="1094105" y="110299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09" name="Oval 907">
            <a:extLst>
              <a:ext uri="{FF2B5EF4-FFF2-40B4-BE49-F238E27FC236}">
                <a16:creationId xmlns:a16="http://schemas.microsoft.com/office/drawing/2014/main" xmlns="" id="{00000000-0008-0000-0B00-00006D000000}"/>
              </a:ext>
            </a:extLst>
          </xdr:cNvPr>
          <xdr:cNvSpPr>
            <a:spLocks noChangeArrowheads="1"/>
          </xdr:cNvSpPr>
        </xdr:nvSpPr>
        <xdr:spPr bwMode="auto">
          <a:xfrm>
            <a:off x="4895215" y="34671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10" name="Oval 908">
            <a:extLst>
              <a:ext uri="{FF2B5EF4-FFF2-40B4-BE49-F238E27FC236}">
                <a16:creationId xmlns:a16="http://schemas.microsoft.com/office/drawing/2014/main" xmlns="" id="{00000000-0008-0000-0B00-00006E000000}"/>
              </a:ext>
            </a:extLst>
          </xdr:cNvPr>
          <xdr:cNvSpPr>
            <a:spLocks noChangeArrowheads="1"/>
          </xdr:cNvSpPr>
        </xdr:nvSpPr>
        <xdr:spPr bwMode="auto">
          <a:xfrm>
            <a:off x="4895215" y="34671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1" name="Rectangle 110">
            <a:extLst>
              <a:ext uri="{FF2B5EF4-FFF2-40B4-BE49-F238E27FC236}">
                <a16:creationId xmlns:a16="http://schemas.microsoft.com/office/drawing/2014/main" xmlns="" id="{00000000-0008-0000-0B00-00006F000000}"/>
              </a:ext>
            </a:extLst>
          </xdr:cNvPr>
          <xdr:cNvSpPr>
            <a:spLocks noChangeArrowheads="1"/>
          </xdr:cNvSpPr>
        </xdr:nvSpPr>
        <xdr:spPr bwMode="auto">
          <a:xfrm>
            <a:off x="4984750" y="38862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2" name="Rectangle 111">
            <a:extLst>
              <a:ext uri="{FF2B5EF4-FFF2-40B4-BE49-F238E27FC236}">
                <a16:creationId xmlns:a16="http://schemas.microsoft.com/office/drawing/2014/main" xmlns="" id="{00000000-0008-0000-0B00-000070000000}"/>
              </a:ext>
            </a:extLst>
          </xdr:cNvPr>
          <xdr:cNvSpPr>
            <a:spLocks noChangeArrowheads="1"/>
          </xdr:cNvSpPr>
        </xdr:nvSpPr>
        <xdr:spPr bwMode="auto">
          <a:xfrm>
            <a:off x="15240" y="94869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3" name="Rectangle 112">
            <a:extLst>
              <a:ext uri="{FF2B5EF4-FFF2-40B4-BE49-F238E27FC236}">
                <a16:creationId xmlns:a16="http://schemas.microsoft.com/office/drawing/2014/main" xmlns="" id="{00000000-0008-0000-0B00-000071000000}"/>
              </a:ext>
            </a:extLst>
          </xdr:cNvPr>
          <xdr:cNvSpPr>
            <a:spLocks noChangeArrowheads="1"/>
          </xdr:cNvSpPr>
        </xdr:nvSpPr>
        <xdr:spPr bwMode="auto">
          <a:xfrm>
            <a:off x="15240" y="94869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4" name="Rectangle 113">
            <a:extLst>
              <a:ext uri="{FF2B5EF4-FFF2-40B4-BE49-F238E27FC236}">
                <a16:creationId xmlns:a16="http://schemas.microsoft.com/office/drawing/2014/main" xmlns="" id="{00000000-0008-0000-0B00-000072000000}"/>
              </a:ext>
            </a:extLst>
          </xdr:cNvPr>
          <xdr:cNvSpPr>
            <a:spLocks noChangeArrowheads="1"/>
          </xdr:cNvSpPr>
        </xdr:nvSpPr>
        <xdr:spPr bwMode="auto">
          <a:xfrm>
            <a:off x="187960" y="132969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5" name="Rectangle 114">
            <a:extLst>
              <a:ext uri="{FF2B5EF4-FFF2-40B4-BE49-F238E27FC236}">
                <a16:creationId xmlns:a16="http://schemas.microsoft.com/office/drawing/2014/main" xmlns="" id="{00000000-0008-0000-0B00-000073000000}"/>
              </a:ext>
            </a:extLst>
          </xdr:cNvPr>
          <xdr:cNvSpPr>
            <a:spLocks noChangeArrowheads="1"/>
          </xdr:cNvSpPr>
        </xdr:nvSpPr>
        <xdr:spPr bwMode="auto">
          <a:xfrm>
            <a:off x="5386070" y="33401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16" name="Rectangle 115">
            <a:extLst>
              <a:ext uri="{FF2B5EF4-FFF2-40B4-BE49-F238E27FC236}">
                <a16:creationId xmlns:a16="http://schemas.microsoft.com/office/drawing/2014/main" xmlns="" id="{00000000-0008-0000-0B00-000074000000}"/>
              </a:ext>
            </a:extLst>
          </xdr:cNvPr>
          <xdr:cNvSpPr>
            <a:spLocks noChangeArrowheads="1"/>
          </xdr:cNvSpPr>
        </xdr:nvSpPr>
        <xdr:spPr bwMode="auto">
          <a:xfrm>
            <a:off x="5386070" y="33401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17" name="Rectangle 116">
            <a:extLst>
              <a:ext uri="{FF2B5EF4-FFF2-40B4-BE49-F238E27FC236}">
                <a16:creationId xmlns:a16="http://schemas.microsoft.com/office/drawing/2014/main" xmlns="" id="{00000000-0008-0000-0B00-000075000000}"/>
              </a:ext>
            </a:extLst>
          </xdr:cNvPr>
          <xdr:cNvSpPr>
            <a:spLocks noChangeArrowheads="1"/>
          </xdr:cNvSpPr>
        </xdr:nvSpPr>
        <xdr:spPr bwMode="auto">
          <a:xfrm>
            <a:off x="5768340" y="77406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18" name="Rectangle 117">
            <a:extLst>
              <a:ext uri="{FF2B5EF4-FFF2-40B4-BE49-F238E27FC236}">
                <a16:creationId xmlns:a16="http://schemas.microsoft.com/office/drawing/2014/main" xmlns="" id="{00000000-0008-0000-0B00-000076000000}"/>
              </a:ext>
            </a:extLst>
          </xdr:cNvPr>
          <xdr:cNvSpPr>
            <a:spLocks noChangeArrowheads="1"/>
          </xdr:cNvSpPr>
        </xdr:nvSpPr>
        <xdr:spPr bwMode="auto">
          <a:xfrm>
            <a:off x="5386070" y="156464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50"/>
          </a:p>
        </xdr:txBody>
      </xdr:sp>
      <xdr:sp macro="" textlink="">
        <xdr:nvSpPr>
          <xdr:cNvPr id="119" name="Rectangle 118">
            <a:extLst>
              <a:ext uri="{FF2B5EF4-FFF2-40B4-BE49-F238E27FC236}">
                <a16:creationId xmlns:a16="http://schemas.microsoft.com/office/drawing/2014/main" xmlns="" id="{00000000-0008-0000-0B00-000077000000}"/>
              </a:ext>
            </a:extLst>
          </xdr:cNvPr>
          <xdr:cNvSpPr>
            <a:spLocks noChangeArrowheads="1"/>
          </xdr:cNvSpPr>
        </xdr:nvSpPr>
        <xdr:spPr bwMode="auto">
          <a:xfrm>
            <a:off x="5386070" y="156464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0" name="Rectangle 119">
            <a:extLst>
              <a:ext uri="{FF2B5EF4-FFF2-40B4-BE49-F238E27FC236}">
                <a16:creationId xmlns:a16="http://schemas.microsoft.com/office/drawing/2014/main" xmlns="" id="{00000000-0008-0000-0B00-000078000000}"/>
              </a:ext>
            </a:extLst>
          </xdr:cNvPr>
          <xdr:cNvSpPr>
            <a:spLocks noChangeArrowheads="1"/>
          </xdr:cNvSpPr>
        </xdr:nvSpPr>
        <xdr:spPr bwMode="auto">
          <a:xfrm>
            <a:off x="5438775" y="200279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21" name="Line 919">
            <a:extLst>
              <a:ext uri="{FF2B5EF4-FFF2-40B4-BE49-F238E27FC236}">
                <a16:creationId xmlns:a16="http://schemas.microsoft.com/office/drawing/2014/main" xmlns="" id="{00000000-0008-0000-0B00-000079000000}"/>
              </a:ext>
            </a:extLst>
          </xdr:cNvPr>
          <xdr:cNvCxnSpPr/>
        </xdr:nvCxnSpPr>
        <xdr:spPr bwMode="auto">
          <a:xfrm>
            <a:off x="1094105" y="187198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22" name="Freeform 920">
            <a:extLst>
              <a:ext uri="{FF2B5EF4-FFF2-40B4-BE49-F238E27FC236}">
                <a16:creationId xmlns:a16="http://schemas.microsoft.com/office/drawing/2014/main" xmlns="" id="{00000000-0008-0000-0B00-00007A000000}"/>
              </a:ext>
            </a:extLst>
          </xdr:cNvPr>
          <xdr:cNvSpPr>
            <a:spLocks/>
          </xdr:cNvSpPr>
        </xdr:nvSpPr>
        <xdr:spPr bwMode="auto">
          <a:xfrm>
            <a:off x="2503805" y="182753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23" name="Oval 921">
            <a:extLst>
              <a:ext uri="{FF2B5EF4-FFF2-40B4-BE49-F238E27FC236}">
                <a16:creationId xmlns:a16="http://schemas.microsoft.com/office/drawing/2014/main" xmlns="" id="{00000000-0008-0000-0B00-00007B000000}"/>
              </a:ext>
            </a:extLst>
          </xdr:cNvPr>
          <xdr:cNvSpPr>
            <a:spLocks noChangeArrowheads="1"/>
          </xdr:cNvSpPr>
        </xdr:nvSpPr>
        <xdr:spPr bwMode="auto">
          <a:xfrm>
            <a:off x="2009775" y="96393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4" name="Oval 922">
            <a:extLst>
              <a:ext uri="{FF2B5EF4-FFF2-40B4-BE49-F238E27FC236}">
                <a16:creationId xmlns:a16="http://schemas.microsoft.com/office/drawing/2014/main" xmlns="" id="{00000000-0008-0000-0B00-00007C000000}"/>
              </a:ext>
            </a:extLst>
          </xdr:cNvPr>
          <xdr:cNvSpPr>
            <a:spLocks noChangeArrowheads="1"/>
          </xdr:cNvSpPr>
        </xdr:nvSpPr>
        <xdr:spPr bwMode="auto">
          <a:xfrm>
            <a:off x="2009775" y="96393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5" name="Rectangle 124">
            <a:extLst>
              <a:ext uri="{FF2B5EF4-FFF2-40B4-BE49-F238E27FC236}">
                <a16:creationId xmlns:a16="http://schemas.microsoft.com/office/drawing/2014/main" xmlns="" id="{00000000-0008-0000-0B00-00007D000000}"/>
              </a:ext>
            </a:extLst>
          </xdr:cNvPr>
          <xdr:cNvSpPr>
            <a:spLocks noChangeArrowheads="1"/>
          </xdr:cNvSpPr>
        </xdr:nvSpPr>
        <xdr:spPr bwMode="auto">
          <a:xfrm>
            <a:off x="2096770" y="101028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26" name="Oval 924">
            <a:extLst>
              <a:ext uri="{FF2B5EF4-FFF2-40B4-BE49-F238E27FC236}">
                <a16:creationId xmlns:a16="http://schemas.microsoft.com/office/drawing/2014/main" xmlns="" id="{00000000-0008-0000-0B00-00007E000000}"/>
              </a:ext>
            </a:extLst>
          </xdr:cNvPr>
          <xdr:cNvSpPr>
            <a:spLocks noChangeArrowheads="1"/>
          </xdr:cNvSpPr>
        </xdr:nvSpPr>
        <xdr:spPr bwMode="auto">
          <a:xfrm>
            <a:off x="4895215" y="157734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27" name="Oval 925">
            <a:extLst>
              <a:ext uri="{FF2B5EF4-FFF2-40B4-BE49-F238E27FC236}">
                <a16:creationId xmlns:a16="http://schemas.microsoft.com/office/drawing/2014/main" xmlns="" id="{00000000-0008-0000-0B00-00007F000000}"/>
              </a:ext>
            </a:extLst>
          </xdr:cNvPr>
          <xdr:cNvSpPr>
            <a:spLocks noChangeArrowheads="1"/>
          </xdr:cNvSpPr>
        </xdr:nvSpPr>
        <xdr:spPr bwMode="auto">
          <a:xfrm>
            <a:off x="4907915" y="157734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28" name="Rectangle 127">
            <a:extLst>
              <a:ext uri="{FF2B5EF4-FFF2-40B4-BE49-F238E27FC236}">
                <a16:creationId xmlns:a16="http://schemas.microsoft.com/office/drawing/2014/main" xmlns="" id="{00000000-0008-0000-0B00-000080000000}"/>
              </a:ext>
            </a:extLst>
          </xdr:cNvPr>
          <xdr:cNvSpPr>
            <a:spLocks noChangeArrowheads="1"/>
          </xdr:cNvSpPr>
        </xdr:nvSpPr>
        <xdr:spPr bwMode="auto">
          <a:xfrm>
            <a:off x="4984750" y="161798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29" name="Freeform 928">
            <a:extLst>
              <a:ext uri="{FF2B5EF4-FFF2-40B4-BE49-F238E27FC236}">
                <a16:creationId xmlns:a16="http://schemas.microsoft.com/office/drawing/2014/main" xmlns="" id="{00000000-0008-0000-0B00-000081000000}"/>
              </a:ext>
            </a:extLst>
          </xdr:cNvPr>
          <xdr:cNvSpPr>
            <a:spLocks/>
          </xdr:cNvSpPr>
        </xdr:nvSpPr>
        <xdr:spPr bwMode="auto">
          <a:xfrm>
            <a:off x="1178560" y="1398905"/>
            <a:ext cx="553720" cy="21907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0" name="Rectangle 129">
            <a:extLst>
              <a:ext uri="{FF2B5EF4-FFF2-40B4-BE49-F238E27FC236}">
                <a16:creationId xmlns:a16="http://schemas.microsoft.com/office/drawing/2014/main" xmlns="" id="{00000000-0008-0000-0B00-000082000000}"/>
              </a:ext>
            </a:extLst>
          </xdr:cNvPr>
          <xdr:cNvSpPr>
            <a:spLocks noChangeArrowheads="1"/>
          </xdr:cNvSpPr>
        </xdr:nvSpPr>
        <xdr:spPr bwMode="auto">
          <a:xfrm>
            <a:off x="1280795" y="1425574"/>
            <a:ext cx="365125"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1" name="Freeform 930">
            <a:extLst>
              <a:ext uri="{FF2B5EF4-FFF2-40B4-BE49-F238E27FC236}">
                <a16:creationId xmlns:a16="http://schemas.microsoft.com/office/drawing/2014/main" xmlns="" id="{00000000-0008-0000-0B00-000083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2" name="Freeform 931">
            <a:extLst>
              <a:ext uri="{FF2B5EF4-FFF2-40B4-BE49-F238E27FC236}">
                <a16:creationId xmlns:a16="http://schemas.microsoft.com/office/drawing/2014/main" xmlns="" id="{00000000-0008-0000-0B00-000084000000}"/>
              </a:ext>
            </a:extLst>
          </xdr:cNvPr>
          <xdr:cNvSpPr>
            <a:spLocks/>
          </xdr:cNvSpPr>
        </xdr:nvSpPr>
        <xdr:spPr bwMode="auto">
          <a:xfrm>
            <a:off x="4077335" y="201295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3" name="Rectangle 132">
            <a:extLst>
              <a:ext uri="{FF2B5EF4-FFF2-40B4-BE49-F238E27FC236}">
                <a16:creationId xmlns:a16="http://schemas.microsoft.com/office/drawing/2014/main" xmlns="" id="{00000000-0008-0000-0B00-000085000000}"/>
              </a:ext>
            </a:extLst>
          </xdr:cNvPr>
          <xdr:cNvSpPr>
            <a:spLocks noChangeArrowheads="1"/>
          </xdr:cNvSpPr>
        </xdr:nvSpPr>
        <xdr:spPr bwMode="auto">
          <a:xfrm>
            <a:off x="4182745" y="2036445"/>
            <a:ext cx="340995" cy="120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4" name="Freeform 933">
            <a:extLst>
              <a:ext uri="{FF2B5EF4-FFF2-40B4-BE49-F238E27FC236}">
                <a16:creationId xmlns:a16="http://schemas.microsoft.com/office/drawing/2014/main" xmlns="" id="{00000000-0008-0000-0B00-000086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35" name="Freeform 934">
            <a:extLst>
              <a:ext uri="{FF2B5EF4-FFF2-40B4-BE49-F238E27FC236}">
                <a16:creationId xmlns:a16="http://schemas.microsoft.com/office/drawing/2014/main" xmlns="" id="{00000000-0008-0000-0B00-000087000000}"/>
              </a:ext>
            </a:extLst>
          </xdr:cNvPr>
          <xdr:cNvSpPr>
            <a:spLocks/>
          </xdr:cNvSpPr>
        </xdr:nvSpPr>
        <xdr:spPr bwMode="auto">
          <a:xfrm>
            <a:off x="4077335" y="78359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6" name="Rectangle 135">
            <a:extLst>
              <a:ext uri="{FF2B5EF4-FFF2-40B4-BE49-F238E27FC236}">
                <a16:creationId xmlns:a16="http://schemas.microsoft.com/office/drawing/2014/main" xmlns="" id="{00000000-0008-0000-0B00-000088000000}"/>
              </a:ext>
            </a:extLst>
          </xdr:cNvPr>
          <xdr:cNvSpPr>
            <a:spLocks noChangeArrowheads="1"/>
          </xdr:cNvSpPr>
        </xdr:nvSpPr>
        <xdr:spPr bwMode="auto">
          <a:xfrm>
            <a:off x="4182745" y="807084"/>
            <a:ext cx="366395" cy="13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37" name="Oval 936">
            <a:extLst>
              <a:ext uri="{FF2B5EF4-FFF2-40B4-BE49-F238E27FC236}">
                <a16:creationId xmlns:a16="http://schemas.microsoft.com/office/drawing/2014/main" xmlns="" id="{00000000-0008-0000-0B00-000089000000}"/>
              </a:ext>
            </a:extLst>
          </xdr:cNvPr>
          <xdr:cNvSpPr>
            <a:spLocks noChangeArrowheads="1"/>
          </xdr:cNvSpPr>
        </xdr:nvSpPr>
        <xdr:spPr bwMode="auto">
          <a:xfrm>
            <a:off x="3992880" y="5645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38" name="Oval 937">
            <a:extLst>
              <a:ext uri="{FF2B5EF4-FFF2-40B4-BE49-F238E27FC236}">
                <a16:creationId xmlns:a16="http://schemas.microsoft.com/office/drawing/2014/main" xmlns="" id="{00000000-0008-0000-0B00-00008A000000}"/>
              </a:ext>
            </a:extLst>
          </xdr:cNvPr>
          <xdr:cNvSpPr>
            <a:spLocks noChangeArrowheads="1"/>
          </xdr:cNvSpPr>
        </xdr:nvSpPr>
        <xdr:spPr bwMode="auto">
          <a:xfrm>
            <a:off x="3992880" y="5645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39" name="Rectangle 138">
            <a:extLst>
              <a:ext uri="{FF2B5EF4-FFF2-40B4-BE49-F238E27FC236}">
                <a16:creationId xmlns:a16="http://schemas.microsoft.com/office/drawing/2014/main" xmlns="" id="{00000000-0008-0000-0B00-00008B000000}"/>
              </a:ext>
            </a:extLst>
          </xdr:cNvPr>
          <xdr:cNvSpPr>
            <a:spLocks noChangeArrowheads="1"/>
          </xdr:cNvSpPr>
        </xdr:nvSpPr>
        <xdr:spPr bwMode="auto">
          <a:xfrm>
            <a:off x="4036060" y="57912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40" name="Line 939">
            <a:extLst>
              <a:ext uri="{FF2B5EF4-FFF2-40B4-BE49-F238E27FC236}">
                <a16:creationId xmlns:a16="http://schemas.microsoft.com/office/drawing/2014/main" xmlns="" id="{00000000-0008-0000-0B00-00008C000000}"/>
              </a:ext>
            </a:extLst>
          </xdr:cNvPr>
          <xdr:cNvCxnSpPr/>
        </xdr:nvCxnSpPr>
        <xdr:spPr bwMode="auto">
          <a:xfrm flipV="1">
            <a:off x="4300855" y="48704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1" name="Line 940">
            <a:extLst>
              <a:ext uri="{FF2B5EF4-FFF2-40B4-BE49-F238E27FC236}">
                <a16:creationId xmlns:a16="http://schemas.microsoft.com/office/drawing/2014/main" xmlns="" id="{00000000-0008-0000-0B00-00008D000000}"/>
              </a:ext>
            </a:extLst>
          </xdr:cNvPr>
          <xdr:cNvCxnSpPr/>
        </xdr:nvCxnSpPr>
        <xdr:spPr bwMode="auto">
          <a:xfrm>
            <a:off x="4300855" y="96202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2" name="Line 941">
            <a:extLst>
              <a:ext uri="{FF2B5EF4-FFF2-40B4-BE49-F238E27FC236}">
                <a16:creationId xmlns:a16="http://schemas.microsoft.com/office/drawing/2014/main" xmlns="" id="{00000000-0008-0000-0B00-00008E000000}"/>
              </a:ext>
            </a:extLst>
          </xdr:cNvPr>
          <xdr:cNvCxnSpPr/>
        </xdr:nvCxnSpPr>
        <xdr:spPr bwMode="auto">
          <a:xfrm>
            <a:off x="4300855" y="171894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3" name="Line 942">
            <a:extLst>
              <a:ext uri="{FF2B5EF4-FFF2-40B4-BE49-F238E27FC236}">
                <a16:creationId xmlns:a16="http://schemas.microsoft.com/office/drawing/2014/main" xmlns="" id="{00000000-0008-0000-0B00-00008F000000}"/>
              </a:ext>
            </a:extLst>
          </xdr:cNvPr>
          <xdr:cNvCxnSpPr/>
        </xdr:nvCxnSpPr>
        <xdr:spPr bwMode="auto">
          <a:xfrm>
            <a:off x="4300855" y="219138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4" name="Line 943">
            <a:extLst>
              <a:ext uri="{FF2B5EF4-FFF2-40B4-BE49-F238E27FC236}">
                <a16:creationId xmlns:a16="http://schemas.microsoft.com/office/drawing/2014/main" xmlns="" id="{00000000-0008-0000-0B00-000090000000}"/>
              </a:ext>
            </a:extLst>
          </xdr:cNvPr>
          <xdr:cNvCxnSpPr/>
        </xdr:nvCxnSpPr>
        <xdr:spPr bwMode="auto">
          <a:xfrm flipV="1">
            <a:off x="1402715" y="157734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5" name="Line 944">
            <a:extLst>
              <a:ext uri="{FF2B5EF4-FFF2-40B4-BE49-F238E27FC236}">
                <a16:creationId xmlns:a16="http://schemas.microsoft.com/office/drawing/2014/main" xmlns="" id="{00000000-0008-0000-0B00-000091000000}"/>
              </a:ext>
            </a:extLst>
          </xdr:cNvPr>
          <xdr:cNvCxnSpPr/>
        </xdr:nvCxnSpPr>
        <xdr:spPr bwMode="auto">
          <a:xfrm flipV="1">
            <a:off x="1402715" y="110299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6" name="Line 945">
            <a:extLst>
              <a:ext uri="{FF2B5EF4-FFF2-40B4-BE49-F238E27FC236}">
                <a16:creationId xmlns:a16="http://schemas.microsoft.com/office/drawing/2014/main" xmlns="" id="{00000000-0008-0000-0B00-000092000000}"/>
              </a:ext>
            </a:extLst>
          </xdr:cNvPr>
          <xdr:cNvCxnSpPr/>
        </xdr:nvCxnSpPr>
        <xdr:spPr bwMode="auto">
          <a:xfrm flipH="1">
            <a:off x="4154171" y="233426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7" name="Line 946">
            <a:extLst>
              <a:ext uri="{FF2B5EF4-FFF2-40B4-BE49-F238E27FC236}">
                <a16:creationId xmlns:a16="http://schemas.microsoft.com/office/drawing/2014/main" xmlns="" id="{00000000-0008-0000-0B00-000093000000}"/>
              </a:ext>
            </a:extLst>
          </xdr:cNvPr>
          <xdr:cNvCxnSpPr/>
        </xdr:nvCxnSpPr>
        <xdr:spPr bwMode="auto">
          <a:xfrm flipH="1">
            <a:off x="4161791" y="187198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8" name="Line 947">
            <a:extLst>
              <a:ext uri="{FF2B5EF4-FFF2-40B4-BE49-F238E27FC236}">
                <a16:creationId xmlns:a16="http://schemas.microsoft.com/office/drawing/2014/main" xmlns="" id="{00000000-0008-0000-0B00-000094000000}"/>
              </a:ext>
            </a:extLst>
          </xdr:cNvPr>
          <xdr:cNvCxnSpPr/>
        </xdr:nvCxnSpPr>
        <xdr:spPr bwMode="auto">
          <a:xfrm flipH="1">
            <a:off x="4146551" y="110299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49" name="Line 948">
            <a:extLst>
              <a:ext uri="{FF2B5EF4-FFF2-40B4-BE49-F238E27FC236}">
                <a16:creationId xmlns:a16="http://schemas.microsoft.com/office/drawing/2014/main" xmlns="" id="{00000000-0008-0000-0B00-000095000000}"/>
              </a:ext>
            </a:extLst>
          </xdr:cNvPr>
          <xdr:cNvCxnSpPr/>
        </xdr:nvCxnSpPr>
        <xdr:spPr bwMode="auto">
          <a:xfrm flipH="1">
            <a:off x="4161791" y="64071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0" name="Line 949">
            <a:extLst>
              <a:ext uri="{FF2B5EF4-FFF2-40B4-BE49-F238E27FC236}">
                <a16:creationId xmlns:a16="http://schemas.microsoft.com/office/drawing/2014/main" xmlns="" id="{00000000-0008-0000-0B00-000096000000}"/>
              </a:ext>
            </a:extLst>
          </xdr:cNvPr>
          <xdr:cNvCxnSpPr/>
        </xdr:nvCxnSpPr>
        <xdr:spPr bwMode="auto">
          <a:xfrm>
            <a:off x="1402715" y="125730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151" name="Line 950">
            <a:extLst>
              <a:ext uri="{FF2B5EF4-FFF2-40B4-BE49-F238E27FC236}">
                <a16:creationId xmlns:a16="http://schemas.microsoft.com/office/drawing/2014/main" xmlns="" id="{00000000-0008-0000-0B00-000097000000}"/>
              </a:ext>
            </a:extLst>
          </xdr:cNvPr>
          <xdr:cNvCxnSpPr/>
        </xdr:nvCxnSpPr>
        <xdr:spPr bwMode="auto">
          <a:xfrm>
            <a:off x="1402715" y="171894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152" name="Oval 951">
            <a:extLst>
              <a:ext uri="{FF2B5EF4-FFF2-40B4-BE49-F238E27FC236}">
                <a16:creationId xmlns:a16="http://schemas.microsoft.com/office/drawing/2014/main" xmlns="" id="{00000000-0008-0000-0B00-000098000000}"/>
              </a:ext>
            </a:extLst>
          </xdr:cNvPr>
          <xdr:cNvSpPr>
            <a:spLocks noChangeArrowheads="1"/>
          </xdr:cNvSpPr>
        </xdr:nvSpPr>
        <xdr:spPr bwMode="auto">
          <a:xfrm>
            <a:off x="3992880" y="102616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3" name="Oval 952">
            <a:extLst>
              <a:ext uri="{FF2B5EF4-FFF2-40B4-BE49-F238E27FC236}">
                <a16:creationId xmlns:a16="http://schemas.microsoft.com/office/drawing/2014/main" xmlns="" id="{00000000-0008-0000-0B00-000099000000}"/>
              </a:ext>
            </a:extLst>
          </xdr:cNvPr>
          <xdr:cNvSpPr>
            <a:spLocks noChangeArrowheads="1"/>
          </xdr:cNvSpPr>
        </xdr:nvSpPr>
        <xdr:spPr bwMode="auto">
          <a:xfrm>
            <a:off x="3992880" y="102616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4" name="Rectangle 153">
            <a:extLst>
              <a:ext uri="{FF2B5EF4-FFF2-40B4-BE49-F238E27FC236}">
                <a16:creationId xmlns:a16="http://schemas.microsoft.com/office/drawing/2014/main" xmlns="" id="{00000000-0008-0000-0B00-00009A000000}"/>
              </a:ext>
            </a:extLst>
          </xdr:cNvPr>
          <xdr:cNvSpPr>
            <a:spLocks noChangeArrowheads="1"/>
          </xdr:cNvSpPr>
        </xdr:nvSpPr>
        <xdr:spPr bwMode="auto">
          <a:xfrm>
            <a:off x="4036060" y="10337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5" name="Oval 954">
            <a:extLst>
              <a:ext uri="{FF2B5EF4-FFF2-40B4-BE49-F238E27FC236}">
                <a16:creationId xmlns:a16="http://schemas.microsoft.com/office/drawing/2014/main" xmlns="" id="{00000000-0008-0000-0B00-00009B000000}"/>
              </a:ext>
            </a:extLst>
          </xdr:cNvPr>
          <xdr:cNvSpPr>
            <a:spLocks noChangeArrowheads="1"/>
          </xdr:cNvSpPr>
        </xdr:nvSpPr>
        <xdr:spPr bwMode="auto">
          <a:xfrm>
            <a:off x="1556385" y="164084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6" name="Oval 955">
            <a:extLst>
              <a:ext uri="{FF2B5EF4-FFF2-40B4-BE49-F238E27FC236}">
                <a16:creationId xmlns:a16="http://schemas.microsoft.com/office/drawing/2014/main" xmlns="" id="{00000000-0008-0000-0B00-00009C000000}"/>
              </a:ext>
            </a:extLst>
          </xdr:cNvPr>
          <xdr:cNvSpPr>
            <a:spLocks noChangeArrowheads="1"/>
          </xdr:cNvSpPr>
        </xdr:nvSpPr>
        <xdr:spPr bwMode="auto">
          <a:xfrm>
            <a:off x="1556385" y="164084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57" name="Rectangle 156">
            <a:extLst>
              <a:ext uri="{FF2B5EF4-FFF2-40B4-BE49-F238E27FC236}">
                <a16:creationId xmlns:a16="http://schemas.microsoft.com/office/drawing/2014/main" xmlns="" id="{00000000-0008-0000-0B00-00009D000000}"/>
              </a:ext>
            </a:extLst>
          </xdr:cNvPr>
          <xdr:cNvSpPr>
            <a:spLocks noChangeArrowheads="1"/>
          </xdr:cNvSpPr>
        </xdr:nvSpPr>
        <xdr:spPr bwMode="auto">
          <a:xfrm>
            <a:off x="1598295" y="165417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58" name="Oval 957">
            <a:extLst>
              <a:ext uri="{FF2B5EF4-FFF2-40B4-BE49-F238E27FC236}">
                <a16:creationId xmlns:a16="http://schemas.microsoft.com/office/drawing/2014/main" xmlns="" id="{00000000-0008-0000-0B00-00009E000000}"/>
              </a:ext>
            </a:extLst>
          </xdr:cNvPr>
          <xdr:cNvSpPr>
            <a:spLocks noChangeArrowheads="1"/>
          </xdr:cNvSpPr>
        </xdr:nvSpPr>
        <xdr:spPr bwMode="auto">
          <a:xfrm>
            <a:off x="1556385" y="117919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59" name="Oval 958">
            <a:extLst>
              <a:ext uri="{FF2B5EF4-FFF2-40B4-BE49-F238E27FC236}">
                <a16:creationId xmlns:a16="http://schemas.microsoft.com/office/drawing/2014/main" xmlns="" id="{00000000-0008-0000-0B00-00009F000000}"/>
              </a:ext>
            </a:extLst>
          </xdr:cNvPr>
          <xdr:cNvSpPr>
            <a:spLocks noChangeArrowheads="1"/>
          </xdr:cNvSpPr>
        </xdr:nvSpPr>
        <xdr:spPr bwMode="auto">
          <a:xfrm>
            <a:off x="1556385" y="117919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0" name="Rectangle 159">
            <a:extLst>
              <a:ext uri="{FF2B5EF4-FFF2-40B4-BE49-F238E27FC236}">
                <a16:creationId xmlns:a16="http://schemas.microsoft.com/office/drawing/2014/main" xmlns="" id="{00000000-0008-0000-0B00-0000A0000000}"/>
              </a:ext>
            </a:extLst>
          </xdr:cNvPr>
          <xdr:cNvSpPr>
            <a:spLocks noChangeArrowheads="1"/>
          </xdr:cNvSpPr>
        </xdr:nvSpPr>
        <xdr:spPr bwMode="auto">
          <a:xfrm>
            <a:off x="1598295" y="118935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1" name="Oval 960">
            <a:extLst>
              <a:ext uri="{FF2B5EF4-FFF2-40B4-BE49-F238E27FC236}">
                <a16:creationId xmlns:a16="http://schemas.microsoft.com/office/drawing/2014/main" xmlns="" id="{00000000-0008-0000-0B00-0000A1000000}"/>
              </a:ext>
            </a:extLst>
          </xdr:cNvPr>
          <xdr:cNvSpPr>
            <a:spLocks noChangeArrowheads="1"/>
          </xdr:cNvSpPr>
        </xdr:nvSpPr>
        <xdr:spPr bwMode="auto">
          <a:xfrm>
            <a:off x="3992880" y="225742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2" name="Oval 961">
            <a:extLst>
              <a:ext uri="{FF2B5EF4-FFF2-40B4-BE49-F238E27FC236}">
                <a16:creationId xmlns:a16="http://schemas.microsoft.com/office/drawing/2014/main" xmlns="" id="{00000000-0008-0000-0B00-0000A2000000}"/>
              </a:ext>
            </a:extLst>
          </xdr:cNvPr>
          <xdr:cNvSpPr>
            <a:spLocks noChangeArrowheads="1"/>
          </xdr:cNvSpPr>
        </xdr:nvSpPr>
        <xdr:spPr bwMode="auto">
          <a:xfrm>
            <a:off x="3992880" y="225742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3" name="Rectangle 162">
            <a:extLst>
              <a:ext uri="{FF2B5EF4-FFF2-40B4-BE49-F238E27FC236}">
                <a16:creationId xmlns:a16="http://schemas.microsoft.com/office/drawing/2014/main" xmlns="" id="{00000000-0008-0000-0B00-0000A3000000}"/>
              </a:ext>
            </a:extLst>
          </xdr:cNvPr>
          <xdr:cNvSpPr>
            <a:spLocks noChangeArrowheads="1"/>
          </xdr:cNvSpPr>
        </xdr:nvSpPr>
        <xdr:spPr bwMode="auto">
          <a:xfrm>
            <a:off x="4036060" y="226314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4" name="Oval 963">
            <a:extLst>
              <a:ext uri="{FF2B5EF4-FFF2-40B4-BE49-F238E27FC236}">
                <a16:creationId xmlns:a16="http://schemas.microsoft.com/office/drawing/2014/main" xmlns="" id="{00000000-0008-0000-0B00-0000A4000000}"/>
              </a:ext>
            </a:extLst>
          </xdr:cNvPr>
          <xdr:cNvSpPr>
            <a:spLocks noChangeArrowheads="1"/>
          </xdr:cNvSpPr>
        </xdr:nvSpPr>
        <xdr:spPr bwMode="auto">
          <a:xfrm>
            <a:off x="3992880" y="179578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65" name="Oval 964">
            <a:extLst>
              <a:ext uri="{FF2B5EF4-FFF2-40B4-BE49-F238E27FC236}">
                <a16:creationId xmlns:a16="http://schemas.microsoft.com/office/drawing/2014/main" xmlns="" id="{00000000-0008-0000-0B00-0000A5000000}"/>
              </a:ext>
            </a:extLst>
          </xdr:cNvPr>
          <xdr:cNvSpPr>
            <a:spLocks noChangeArrowheads="1"/>
          </xdr:cNvSpPr>
        </xdr:nvSpPr>
        <xdr:spPr bwMode="auto">
          <a:xfrm>
            <a:off x="3992880" y="179578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6" name="Rectangle 165">
            <a:extLst>
              <a:ext uri="{FF2B5EF4-FFF2-40B4-BE49-F238E27FC236}">
                <a16:creationId xmlns:a16="http://schemas.microsoft.com/office/drawing/2014/main" xmlns="" id="{00000000-0008-0000-0B00-0000A6000000}"/>
              </a:ext>
            </a:extLst>
          </xdr:cNvPr>
          <xdr:cNvSpPr>
            <a:spLocks noChangeArrowheads="1"/>
          </xdr:cNvSpPr>
        </xdr:nvSpPr>
        <xdr:spPr bwMode="auto">
          <a:xfrm>
            <a:off x="4036060" y="180848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67" name="Freeform 966">
            <a:extLst>
              <a:ext uri="{FF2B5EF4-FFF2-40B4-BE49-F238E27FC236}">
                <a16:creationId xmlns:a16="http://schemas.microsoft.com/office/drawing/2014/main" xmlns="" id="{00000000-0008-0000-0B00-0000A7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68" name="Freeform 967">
            <a:extLst>
              <a:ext uri="{FF2B5EF4-FFF2-40B4-BE49-F238E27FC236}">
                <a16:creationId xmlns:a16="http://schemas.microsoft.com/office/drawing/2014/main" xmlns="" id="{00000000-0008-0000-0B00-0000A8000000}"/>
              </a:ext>
            </a:extLst>
          </xdr:cNvPr>
          <xdr:cNvSpPr>
            <a:spLocks/>
          </xdr:cNvSpPr>
        </xdr:nvSpPr>
        <xdr:spPr bwMode="auto">
          <a:xfrm>
            <a:off x="4809490" y="78041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69" name="Rectangle 168">
            <a:extLst>
              <a:ext uri="{FF2B5EF4-FFF2-40B4-BE49-F238E27FC236}">
                <a16:creationId xmlns:a16="http://schemas.microsoft.com/office/drawing/2014/main" xmlns="" id="{00000000-0008-0000-0B00-0000A9000000}"/>
              </a:ext>
            </a:extLst>
          </xdr:cNvPr>
          <xdr:cNvSpPr>
            <a:spLocks noChangeArrowheads="1"/>
          </xdr:cNvSpPr>
        </xdr:nvSpPr>
        <xdr:spPr bwMode="auto">
          <a:xfrm>
            <a:off x="4918074" y="804545"/>
            <a:ext cx="499745" cy="132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CE5</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0" name="Freeform 969">
            <a:extLst>
              <a:ext uri="{FF2B5EF4-FFF2-40B4-BE49-F238E27FC236}">
                <a16:creationId xmlns:a16="http://schemas.microsoft.com/office/drawing/2014/main" xmlns="" id="{00000000-0008-0000-0B00-0000AA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1" name="Freeform 970">
            <a:extLst>
              <a:ext uri="{FF2B5EF4-FFF2-40B4-BE49-F238E27FC236}">
                <a16:creationId xmlns:a16="http://schemas.microsoft.com/office/drawing/2014/main" xmlns="" id="{00000000-0008-0000-0B00-0000AB000000}"/>
              </a:ext>
            </a:extLst>
          </xdr:cNvPr>
          <xdr:cNvSpPr>
            <a:spLocks/>
          </xdr:cNvSpPr>
        </xdr:nvSpPr>
        <xdr:spPr bwMode="auto">
          <a:xfrm>
            <a:off x="4817745" y="201104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2" name="Rectangle 171">
            <a:extLst>
              <a:ext uri="{FF2B5EF4-FFF2-40B4-BE49-F238E27FC236}">
                <a16:creationId xmlns:a16="http://schemas.microsoft.com/office/drawing/2014/main" xmlns="" id="{00000000-0008-0000-0B00-0000AC000000}"/>
              </a:ext>
            </a:extLst>
          </xdr:cNvPr>
          <xdr:cNvSpPr>
            <a:spLocks noChangeArrowheads="1"/>
          </xdr:cNvSpPr>
        </xdr:nvSpPr>
        <xdr:spPr bwMode="auto">
          <a:xfrm>
            <a:off x="4926964" y="2033905"/>
            <a:ext cx="536576" cy="17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3</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73" name="Freeform 972">
            <a:extLst>
              <a:ext uri="{FF2B5EF4-FFF2-40B4-BE49-F238E27FC236}">
                <a16:creationId xmlns:a16="http://schemas.microsoft.com/office/drawing/2014/main" xmlns="" id="{00000000-0008-0000-0B00-0000AD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74" name="Freeform 973">
            <a:extLst>
              <a:ext uri="{FF2B5EF4-FFF2-40B4-BE49-F238E27FC236}">
                <a16:creationId xmlns:a16="http://schemas.microsoft.com/office/drawing/2014/main" xmlns="" id="{00000000-0008-0000-0B00-0000AE000000}"/>
              </a:ext>
            </a:extLst>
          </xdr:cNvPr>
          <xdr:cNvSpPr>
            <a:spLocks/>
          </xdr:cNvSpPr>
        </xdr:nvSpPr>
        <xdr:spPr bwMode="auto">
          <a:xfrm>
            <a:off x="1917065" y="139890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75" name="Rectangle 174">
            <a:extLst>
              <a:ext uri="{FF2B5EF4-FFF2-40B4-BE49-F238E27FC236}">
                <a16:creationId xmlns:a16="http://schemas.microsoft.com/office/drawing/2014/main" xmlns="" id="{00000000-0008-0000-0B00-0000AF000000}"/>
              </a:ext>
            </a:extLst>
          </xdr:cNvPr>
          <xdr:cNvSpPr>
            <a:spLocks noChangeArrowheads="1"/>
          </xdr:cNvSpPr>
        </xdr:nvSpPr>
        <xdr:spPr bwMode="auto">
          <a:xfrm>
            <a:off x="2022474" y="1425575"/>
            <a:ext cx="342265" cy="192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4</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176" name="Line 975">
            <a:extLst>
              <a:ext uri="{FF2B5EF4-FFF2-40B4-BE49-F238E27FC236}">
                <a16:creationId xmlns:a16="http://schemas.microsoft.com/office/drawing/2014/main" xmlns="" id="{00000000-0008-0000-0B00-0000B0000000}"/>
              </a:ext>
            </a:extLst>
          </xdr:cNvPr>
          <xdr:cNvCxnSpPr/>
        </xdr:nvCxnSpPr>
        <xdr:spPr bwMode="auto">
          <a:xfrm>
            <a:off x="5033010" y="62357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7" name="Line 976">
            <a:extLst>
              <a:ext uri="{FF2B5EF4-FFF2-40B4-BE49-F238E27FC236}">
                <a16:creationId xmlns:a16="http://schemas.microsoft.com/office/drawing/2014/main" xmlns="" id="{00000000-0008-0000-0B00-0000B1000000}"/>
              </a:ext>
            </a:extLst>
          </xdr:cNvPr>
          <xdr:cNvCxnSpPr/>
        </xdr:nvCxnSpPr>
        <xdr:spPr bwMode="auto">
          <a:xfrm>
            <a:off x="5041265" y="185420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178" name="Line 977">
            <a:extLst>
              <a:ext uri="{FF2B5EF4-FFF2-40B4-BE49-F238E27FC236}">
                <a16:creationId xmlns:a16="http://schemas.microsoft.com/office/drawing/2014/main" xmlns="" id="{00000000-0008-0000-0B00-0000B2000000}"/>
              </a:ext>
            </a:extLst>
          </xdr:cNvPr>
          <xdr:cNvCxnSpPr/>
        </xdr:nvCxnSpPr>
        <xdr:spPr bwMode="auto">
          <a:xfrm flipH="1">
            <a:off x="2139951" y="124079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179" name="Rectangle 178">
            <a:extLst>
              <a:ext uri="{FF2B5EF4-FFF2-40B4-BE49-F238E27FC236}">
                <a16:creationId xmlns:a16="http://schemas.microsoft.com/office/drawing/2014/main" xmlns="" id="{00000000-0008-0000-0B00-0000B3000000}"/>
              </a:ext>
            </a:extLst>
          </xdr:cNvPr>
          <xdr:cNvSpPr>
            <a:spLocks noChangeArrowheads="1"/>
          </xdr:cNvSpPr>
        </xdr:nvSpPr>
        <xdr:spPr bwMode="auto">
          <a:xfrm>
            <a:off x="2672080" y="148717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80" name="Rectangle 179">
            <a:extLst>
              <a:ext uri="{FF2B5EF4-FFF2-40B4-BE49-F238E27FC236}">
                <a16:creationId xmlns:a16="http://schemas.microsoft.com/office/drawing/2014/main" xmlns="" id="{00000000-0008-0000-0B00-0000B4000000}"/>
              </a:ext>
            </a:extLst>
          </xdr:cNvPr>
          <xdr:cNvSpPr>
            <a:spLocks noChangeArrowheads="1"/>
          </xdr:cNvSpPr>
        </xdr:nvSpPr>
        <xdr:spPr bwMode="auto">
          <a:xfrm>
            <a:off x="2672080" y="148717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1" name="Rectangle 180">
            <a:extLst>
              <a:ext uri="{FF2B5EF4-FFF2-40B4-BE49-F238E27FC236}">
                <a16:creationId xmlns:a16="http://schemas.microsoft.com/office/drawing/2014/main" xmlns="" id="{00000000-0008-0000-0B00-0000B5000000}"/>
              </a:ext>
            </a:extLst>
          </xdr:cNvPr>
          <xdr:cNvSpPr>
            <a:spLocks noChangeArrowheads="1"/>
          </xdr:cNvSpPr>
        </xdr:nvSpPr>
        <xdr:spPr bwMode="auto">
          <a:xfrm>
            <a:off x="2731770" y="1579880"/>
            <a:ext cx="12255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2" name="Rectangle 181">
            <a:extLst>
              <a:ext uri="{FF2B5EF4-FFF2-40B4-BE49-F238E27FC236}">
                <a16:creationId xmlns:a16="http://schemas.microsoft.com/office/drawing/2014/main" xmlns="" id="{00000000-0008-0000-0B00-0000B6000000}"/>
              </a:ext>
            </a:extLst>
          </xdr:cNvPr>
          <xdr:cNvSpPr>
            <a:spLocks noChangeArrowheads="1"/>
          </xdr:cNvSpPr>
        </xdr:nvSpPr>
        <xdr:spPr bwMode="auto">
          <a:xfrm>
            <a:off x="2857500" y="1588770"/>
            <a:ext cx="9144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3" name="Rectangle 182">
            <a:extLst>
              <a:ext uri="{FF2B5EF4-FFF2-40B4-BE49-F238E27FC236}">
                <a16:creationId xmlns:a16="http://schemas.microsoft.com/office/drawing/2014/main" xmlns="" id="{00000000-0008-0000-0B00-0000B7000000}"/>
              </a:ext>
            </a:extLst>
          </xdr:cNvPr>
          <xdr:cNvSpPr>
            <a:spLocks noChangeArrowheads="1"/>
          </xdr:cNvSpPr>
        </xdr:nvSpPr>
        <xdr:spPr bwMode="auto">
          <a:xfrm>
            <a:off x="3771900" y="1579880"/>
            <a:ext cx="3492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4" name="Freeform 983">
            <a:extLst>
              <a:ext uri="{FF2B5EF4-FFF2-40B4-BE49-F238E27FC236}">
                <a16:creationId xmlns:a16="http://schemas.microsoft.com/office/drawing/2014/main" xmlns="" id="{00000000-0008-0000-0B00-0000B8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5" name="Freeform 984">
            <a:extLst>
              <a:ext uri="{FF2B5EF4-FFF2-40B4-BE49-F238E27FC236}">
                <a16:creationId xmlns:a16="http://schemas.microsoft.com/office/drawing/2014/main" xmlns="" id="{00000000-0008-0000-0B00-0000B9000000}"/>
              </a:ext>
            </a:extLst>
          </xdr:cNvPr>
          <xdr:cNvSpPr>
            <a:spLocks/>
          </xdr:cNvSpPr>
        </xdr:nvSpPr>
        <xdr:spPr bwMode="auto">
          <a:xfrm>
            <a:off x="107315" y="245999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6" name="Rectangle 185">
            <a:extLst>
              <a:ext uri="{FF2B5EF4-FFF2-40B4-BE49-F238E27FC236}">
                <a16:creationId xmlns:a16="http://schemas.microsoft.com/office/drawing/2014/main" xmlns="" id="{00000000-0008-0000-0B00-0000BA000000}"/>
              </a:ext>
            </a:extLst>
          </xdr:cNvPr>
          <xdr:cNvSpPr>
            <a:spLocks noChangeArrowheads="1"/>
          </xdr:cNvSpPr>
        </xdr:nvSpPr>
        <xdr:spPr bwMode="auto">
          <a:xfrm>
            <a:off x="211455" y="2484120"/>
            <a:ext cx="22161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CEel</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87" name="Freeform 986">
            <a:extLst>
              <a:ext uri="{FF2B5EF4-FFF2-40B4-BE49-F238E27FC236}">
                <a16:creationId xmlns:a16="http://schemas.microsoft.com/office/drawing/2014/main" xmlns="" id="{00000000-0008-0000-0B00-0000BB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188" name="Freeform 987">
            <a:extLst>
              <a:ext uri="{FF2B5EF4-FFF2-40B4-BE49-F238E27FC236}">
                <a16:creationId xmlns:a16="http://schemas.microsoft.com/office/drawing/2014/main" xmlns="" id="{00000000-0008-0000-0B00-0000BC000000}"/>
              </a:ext>
            </a:extLst>
          </xdr:cNvPr>
          <xdr:cNvSpPr>
            <a:spLocks/>
          </xdr:cNvSpPr>
        </xdr:nvSpPr>
        <xdr:spPr bwMode="auto">
          <a:xfrm>
            <a:off x="107315" y="276733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89" name="Rectangle 188">
            <a:extLst>
              <a:ext uri="{FF2B5EF4-FFF2-40B4-BE49-F238E27FC236}">
                <a16:creationId xmlns:a16="http://schemas.microsoft.com/office/drawing/2014/main" xmlns="" id="{00000000-0008-0000-0B00-0000BD000000}"/>
              </a:ext>
            </a:extLst>
          </xdr:cNvPr>
          <xdr:cNvSpPr>
            <a:spLocks noChangeArrowheads="1"/>
          </xdr:cNvSpPr>
        </xdr:nvSpPr>
        <xdr:spPr bwMode="auto">
          <a:xfrm>
            <a:off x="211455" y="2792730"/>
            <a:ext cx="22606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CEth</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0" name="Oval 989">
            <a:extLst>
              <a:ext uri="{FF2B5EF4-FFF2-40B4-BE49-F238E27FC236}">
                <a16:creationId xmlns:a16="http://schemas.microsoft.com/office/drawing/2014/main" xmlns="" id="{00000000-0008-0000-0B00-0000BE000000}"/>
              </a:ext>
            </a:extLst>
          </xdr:cNvPr>
          <xdr:cNvSpPr>
            <a:spLocks noChangeArrowheads="1"/>
          </xdr:cNvSpPr>
        </xdr:nvSpPr>
        <xdr:spPr bwMode="auto">
          <a:xfrm>
            <a:off x="254000" y="308673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sz="1000"/>
          </a:p>
        </xdr:txBody>
      </xdr:sp>
      <xdr:sp macro="" textlink="">
        <xdr:nvSpPr>
          <xdr:cNvPr id="191" name="Oval 990">
            <a:extLst>
              <a:ext uri="{FF2B5EF4-FFF2-40B4-BE49-F238E27FC236}">
                <a16:creationId xmlns:a16="http://schemas.microsoft.com/office/drawing/2014/main" xmlns="" id="{00000000-0008-0000-0B00-0000BF000000}"/>
              </a:ext>
            </a:extLst>
          </xdr:cNvPr>
          <xdr:cNvSpPr>
            <a:spLocks noChangeArrowheads="1"/>
          </xdr:cNvSpPr>
        </xdr:nvSpPr>
        <xdr:spPr bwMode="auto">
          <a:xfrm>
            <a:off x="254000" y="308673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2" name="Rectangle 191">
            <a:extLst>
              <a:ext uri="{FF2B5EF4-FFF2-40B4-BE49-F238E27FC236}">
                <a16:creationId xmlns:a16="http://schemas.microsoft.com/office/drawing/2014/main" xmlns="" id="{00000000-0008-0000-0B00-0000C0000000}"/>
              </a:ext>
            </a:extLst>
          </xdr:cNvPr>
          <xdr:cNvSpPr>
            <a:spLocks noChangeArrowheads="1"/>
          </xdr:cNvSpPr>
        </xdr:nvSpPr>
        <xdr:spPr bwMode="auto">
          <a:xfrm>
            <a:off x="293370" y="310261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3" name="Rectangle 192">
            <a:extLst>
              <a:ext uri="{FF2B5EF4-FFF2-40B4-BE49-F238E27FC236}">
                <a16:creationId xmlns:a16="http://schemas.microsoft.com/office/drawing/2014/main" xmlns="" id="{00000000-0008-0000-0B00-0000C1000000}"/>
              </a:ext>
            </a:extLst>
          </xdr:cNvPr>
          <xdr:cNvSpPr>
            <a:spLocks noChangeArrowheads="1"/>
          </xdr:cNvSpPr>
        </xdr:nvSpPr>
        <xdr:spPr bwMode="auto">
          <a:xfrm>
            <a:off x="683260" y="248475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4" name="Rectangle 193">
            <a:extLst>
              <a:ext uri="{FF2B5EF4-FFF2-40B4-BE49-F238E27FC236}">
                <a16:creationId xmlns:a16="http://schemas.microsoft.com/office/drawing/2014/main" xmlns="" id="{00000000-0008-0000-0B00-0000C2000000}"/>
              </a:ext>
            </a:extLst>
          </xdr:cNvPr>
          <xdr:cNvSpPr>
            <a:spLocks noChangeArrowheads="1"/>
          </xdr:cNvSpPr>
        </xdr:nvSpPr>
        <xdr:spPr bwMode="auto">
          <a:xfrm>
            <a:off x="683260" y="248475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5" name="Rectangle 194">
            <a:extLst>
              <a:ext uri="{FF2B5EF4-FFF2-40B4-BE49-F238E27FC236}">
                <a16:creationId xmlns:a16="http://schemas.microsoft.com/office/drawing/2014/main" xmlns="" id="{00000000-0008-0000-0B00-0000C3000000}"/>
              </a:ext>
            </a:extLst>
          </xdr:cNvPr>
          <xdr:cNvSpPr>
            <a:spLocks noChangeArrowheads="1"/>
          </xdr:cNvSpPr>
        </xdr:nvSpPr>
        <xdr:spPr bwMode="auto">
          <a:xfrm>
            <a:off x="725805" y="250063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6" name="Rectangle 195">
            <a:extLst>
              <a:ext uri="{FF2B5EF4-FFF2-40B4-BE49-F238E27FC236}">
                <a16:creationId xmlns:a16="http://schemas.microsoft.com/office/drawing/2014/main" xmlns="" id="{00000000-0008-0000-0B00-0000C4000000}"/>
              </a:ext>
            </a:extLst>
          </xdr:cNvPr>
          <xdr:cNvSpPr>
            <a:spLocks noChangeArrowheads="1"/>
          </xdr:cNvSpPr>
        </xdr:nvSpPr>
        <xdr:spPr bwMode="auto">
          <a:xfrm>
            <a:off x="696595" y="310007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197" name="Rectangle 196">
            <a:extLst>
              <a:ext uri="{FF2B5EF4-FFF2-40B4-BE49-F238E27FC236}">
                <a16:creationId xmlns:a16="http://schemas.microsoft.com/office/drawing/2014/main" xmlns="" id="{00000000-0008-0000-0B00-0000C5000000}"/>
              </a:ext>
            </a:extLst>
          </xdr:cNvPr>
          <xdr:cNvSpPr>
            <a:spLocks noChangeArrowheads="1"/>
          </xdr:cNvSpPr>
        </xdr:nvSpPr>
        <xdr:spPr bwMode="auto">
          <a:xfrm>
            <a:off x="696595" y="310007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198" name="Rectangle 197">
            <a:extLst>
              <a:ext uri="{FF2B5EF4-FFF2-40B4-BE49-F238E27FC236}">
                <a16:creationId xmlns:a16="http://schemas.microsoft.com/office/drawing/2014/main" xmlns="" id="{00000000-0008-0000-0B00-0000C6000000}"/>
              </a:ext>
            </a:extLst>
          </xdr:cNvPr>
          <xdr:cNvSpPr>
            <a:spLocks noChangeArrowheads="1"/>
          </xdr:cNvSpPr>
        </xdr:nvSpPr>
        <xdr:spPr bwMode="auto">
          <a:xfrm>
            <a:off x="725805" y="308610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199" name="Rectangle 198">
            <a:extLst>
              <a:ext uri="{FF2B5EF4-FFF2-40B4-BE49-F238E27FC236}">
                <a16:creationId xmlns:a16="http://schemas.microsoft.com/office/drawing/2014/main" xmlns="" id="{00000000-0008-0000-0B00-0000C7000000}"/>
              </a:ext>
            </a:extLst>
          </xdr:cNvPr>
          <xdr:cNvSpPr>
            <a:spLocks noChangeArrowheads="1"/>
          </xdr:cNvSpPr>
        </xdr:nvSpPr>
        <xdr:spPr bwMode="auto">
          <a:xfrm>
            <a:off x="688340" y="279146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00" name="Rectangle 199">
            <a:extLst>
              <a:ext uri="{FF2B5EF4-FFF2-40B4-BE49-F238E27FC236}">
                <a16:creationId xmlns:a16="http://schemas.microsoft.com/office/drawing/2014/main" xmlns="" id="{00000000-0008-0000-0B00-0000C8000000}"/>
              </a:ext>
            </a:extLst>
          </xdr:cNvPr>
          <xdr:cNvSpPr>
            <a:spLocks noChangeArrowheads="1"/>
          </xdr:cNvSpPr>
        </xdr:nvSpPr>
        <xdr:spPr bwMode="auto">
          <a:xfrm>
            <a:off x="688340" y="279146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1" name="Rectangle 200">
            <a:extLst>
              <a:ext uri="{FF2B5EF4-FFF2-40B4-BE49-F238E27FC236}">
                <a16:creationId xmlns:a16="http://schemas.microsoft.com/office/drawing/2014/main" xmlns="" id="{00000000-0008-0000-0B00-0000C9000000}"/>
              </a:ext>
            </a:extLst>
          </xdr:cNvPr>
          <xdr:cNvSpPr>
            <a:spLocks noChangeArrowheads="1"/>
          </xdr:cNvSpPr>
        </xdr:nvSpPr>
        <xdr:spPr bwMode="auto">
          <a:xfrm>
            <a:off x="734695" y="2810510"/>
            <a:ext cx="1209040" cy="113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02" name="Freeform 1001">
            <a:extLst>
              <a:ext uri="{FF2B5EF4-FFF2-40B4-BE49-F238E27FC236}">
                <a16:creationId xmlns:a16="http://schemas.microsoft.com/office/drawing/2014/main" xmlns="" id="{00000000-0008-0000-0B00-0000CA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3" name="Freeform 1002">
            <a:extLst>
              <a:ext uri="{FF2B5EF4-FFF2-40B4-BE49-F238E27FC236}">
                <a16:creationId xmlns:a16="http://schemas.microsoft.com/office/drawing/2014/main" xmlns="" id="{00000000-0008-0000-0B00-0000CB000000}"/>
              </a:ext>
            </a:extLst>
          </xdr:cNvPr>
          <xdr:cNvSpPr>
            <a:spLocks/>
          </xdr:cNvSpPr>
        </xdr:nvSpPr>
        <xdr:spPr bwMode="auto">
          <a:xfrm>
            <a:off x="2611120" y="2795905"/>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4" name="Rectangle 203">
            <a:extLst>
              <a:ext uri="{FF2B5EF4-FFF2-40B4-BE49-F238E27FC236}">
                <a16:creationId xmlns:a16="http://schemas.microsoft.com/office/drawing/2014/main" xmlns="" id="{00000000-0008-0000-0B00-0000CC000000}"/>
              </a:ext>
            </a:extLst>
          </xdr:cNvPr>
          <xdr:cNvSpPr>
            <a:spLocks noChangeArrowheads="1"/>
          </xdr:cNvSpPr>
        </xdr:nvSpPr>
        <xdr:spPr bwMode="auto">
          <a:xfrm>
            <a:off x="2717164" y="2816860"/>
            <a:ext cx="452755"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1</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05" name="Line 1004">
            <a:extLst>
              <a:ext uri="{FF2B5EF4-FFF2-40B4-BE49-F238E27FC236}">
                <a16:creationId xmlns:a16="http://schemas.microsoft.com/office/drawing/2014/main" xmlns="" id="{00000000-0008-0000-0B00-0000CD000000}"/>
              </a:ext>
            </a:extLst>
          </xdr:cNvPr>
          <xdr:cNvCxnSpPr/>
        </xdr:nvCxnSpPr>
        <xdr:spPr bwMode="auto">
          <a:xfrm flipV="1">
            <a:off x="2834005" y="2640965"/>
            <a:ext cx="1270"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06" name="Freeform 1005">
            <a:extLst>
              <a:ext uri="{FF2B5EF4-FFF2-40B4-BE49-F238E27FC236}">
                <a16:creationId xmlns:a16="http://schemas.microsoft.com/office/drawing/2014/main" xmlns="" id="{00000000-0008-0000-0B00-0000CE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sz="1000"/>
          </a:p>
        </xdr:txBody>
      </xdr:sp>
      <xdr:sp macro="" textlink="">
        <xdr:nvSpPr>
          <xdr:cNvPr id="207" name="Freeform 1006">
            <a:extLst>
              <a:ext uri="{FF2B5EF4-FFF2-40B4-BE49-F238E27FC236}">
                <a16:creationId xmlns:a16="http://schemas.microsoft.com/office/drawing/2014/main" xmlns="" id="{00000000-0008-0000-0B00-0000CF000000}"/>
              </a:ext>
            </a:extLst>
          </xdr:cNvPr>
          <xdr:cNvSpPr>
            <a:spLocks/>
          </xdr:cNvSpPr>
        </xdr:nvSpPr>
        <xdr:spPr bwMode="auto">
          <a:xfrm>
            <a:off x="3366135" y="279590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08" name="Rectangle 207">
            <a:extLst>
              <a:ext uri="{FF2B5EF4-FFF2-40B4-BE49-F238E27FC236}">
                <a16:creationId xmlns:a16="http://schemas.microsoft.com/office/drawing/2014/main" xmlns="" id="{00000000-0008-0000-0B00-0000D0000000}"/>
              </a:ext>
            </a:extLst>
          </xdr:cNvPr>
          <xdr:cNvSpPr>
            <a:spLocks noChangeArrowheads="1"/>
          </xdr:cNvSpPr>
        </xdr:nvSpPr>
        <xdr:spPr bwMode="auto">
          <a:xfrm>
            <a:off x="3474719" y="2816860"/>
            <a:ext cx="390525" cy="157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 2</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09" name="Line 1008">
            <a:extLst>
              <a:ext uri="{FF2B5EF4-FFF2-40B4-BE49-F238E27FC236}">
                <a16:creationId xmlns:a16="http://schemas.microsoft.com/office/drawing/2014/main" xmlns="" id="{00000000-0008-0000-0B00-0000D1000000}"/>
              </a:ext>
            </a:extLst>
          </xdr:cNvPr>
          <xdr:cNvCxnSpPr/>
        </xdr:nvCxnSpPr>
        <xdr:spPr bwMode="auto">
          <a:xfrm flipV="1">
            <a:off x="3589655" y="2640965"/>
            <a:ext cx="635" cy="154940"/>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10" name="Rectangle 209">
            <a:extLst>
              <a:ext uri="{FF2B5EF4-FFF2-40B4-BE49-F238E27FC236}">
                <a16:creationId xmlns:a16="http://schemas.microsoft.com/office/drawing/2014/main" xmlns="" id="{00000000-0008-0000-0B00-0000D2000000}"/>
              </a:ext>
            </a:extLst>
          </xdr:cNvPr>
          <xdr:cNvSpPr>
            <a:spLocks noChangeArrowheads="1"/>
          </xdr:cNvSpPr>
        </xdr:nvSpPr>
        <xdr:spPr bwMode="auto">
          <a:xfrm>
            <a:off x="2679700" y="302641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1" name="Rectangle 210">
            <a:extLst>
              <a:ext uri="{FF2B5EF4-FFF2-40B4-BE49-F238E27FC236}">
                <a16:creationId xmlns:a16="http://schemas.microsoft.com/office/drawing/2014/main" xmlns="" id="{00000000-0008-0000-0B00-0000D3000000}"/>
              </a:ext>
            </a:extLst>
          </xdr:cNvPr>
          <xdr:cNvSpPr>
            <a:spLocks noChangeArrowheads="1"/>
          </xdr:cNvSpPr>
        </xdr:nvSpPr>
        <xdr:spPr bwMode="auto">
          <a:xfrm>
            <a:off x="2679700" y="302641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2" name="Rectangle 211">
            <a:extLst>
              <a:ext uri="{FF2B5EF4-FFF2-40B4-BE49-F238E27FC236}">
                <a16:creationId xmlns:a16="http://schemas.microsoft.com/office/drawing/2014/main" xmlns="" id="{00000000-0008-0000-0B00-0000D4000000}"/>
              </a:ext>
            </a:extLst>
          </xdr:cNvPr>
          <xdr:cNvSpPr>
            <a:spLocks noChangeArrowheads="1"/>
          </xdr:cNvSpPr>
        </xdr:nvSpPr>
        <xdr:spPr bwMode="auto">
          <a:xfrm>
            <a:off x="2724150" y="304609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13" name="Rectangle 212">
            <a:extLst>
              <a:ext uri="{FF2B5EF4-FFF2-40B4-BE49-F238E27FC236}">
                <a16:creationId xmlns:a16="http://schemas.microsoft.com/office/drawing/2014/main" xmlns="" id="{00000000-0008-0000-0B00-0000D5000000}"/>
              </a:ext>
            </a:extLst>
          </xdr:cNvPr>
          <xdr:cNvSpPr>
            <a:spLocks noChangeArrowheads="1"/>
          </xdr:cNvSpPr>
        </xdr:nvSpPr>
        <xdr:spPr bwMode="auto">
          <a:xfrm>
            <a:off x="3366135" y="302641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sz="1000"/>
          </a:p>
        </xdr:txBody>
      </xdr:sp>
      <xdr:sp macro="" textlink="">
        <xdr:nvSpPr>
          <xdr:cNvPr id="214" name="Rectangle 213">
            <a:extLst>
              <a:ext uri="{FF2B5EF4-FFF2-40B4-BE49-F238E27FC236}">
                <a16:creationId xmlns:a16="http://schemas.microsoft.com/office/drawing/2014/main" xmlns="" id="{00000000-0008-0000-0B00-0000D6000000}"/>
              </a:ext>
            </a:extLst>
          </xdr:cNvPr>
          <xdr:cNvSpPr>
            <a:spLocks noChangeArrowheads="1"/>
          </xdr:cNvSpPr>
        </xdr:nvSpPr>
        <xdr:spPr bwMode="auto">
          <a:xfrm>
            <a:off x="3366135" y="302641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sz="1000"/>
          </a:p>
        </xdr:txBody>
      </xdr:sp>
      <xdr:sp macro="" textlink="">
        <xdr:nvSpPr>
          <xdr:cNvPr id="215" name="Rectangle 214">
            <a:extLst>
              <a:ext uri="{FF2B5EF4-FFF2-40B4-BE49-F238E27FC236}">
                <a16:creationId xmlns:a16="http://schemas.microsoft.com/office/drawing/2014/main" xmlns="" id="{00000000-0008-0000-0B00-0000D7000000}"/>
              </a:ext>
            </a:extLst>
          </xdr:cNvPr>
          <xdr:cNvSpPr>
            <a:spLocks noChangeArrowheads="1"/>
          </xdr:cNvSpPr>
        </xdr:nvSpPr>
        <xdr:spPr bwMode="auto">
          <a:xfrm>
            <a:off x="3409315" y="3046095"/>
            <a:ext cx="59118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0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8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16" name="Line 1015">
            <a:extLst>
              <a:ext uri="{FF2B5EF4-FFF2-40B4-BE49-F238E27FC236}">
                <a16:creationId xmlns:a16="http://schemas.microsoft.com/office/drawing/2014/main" xmlns="" id="{00000000-0008-0000-0B00-0000D8000000}"/>
              </a:ext>
            </a:extLst>
          </xdr:cNvPr>
          <xdr:cNvCxnSpPr/>
        </xdr:nvCxnSpPr>
        <xdr:spPr bwMode="auto">
          <a:xfrm>
            <a:off x="4686300" y="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249767</xdr:colOff>
      <xdr:row>105</xdr:row>
      <xdr:rowOff>47625</xdr:rowOff>
    </xdr:from>
    <xdr:to>
      <xdr:col>12</xdr:col>
      <xdr:colOff>633307</xdr:colOff>
      <xdr:row>123</xdr:row>
      <xdr:rowOff>38100</xdr:rowOff>
    </xdr:to>
    <xdr:grpSp>
      <xdr:nvGrpSpPr>
        <xdr:cNvPr id="217" name="Zone de dessin 1156">
          <a:extLst>
            <a:ext uri="{FF2B5EF4-FFF2-40B4-BE49-F238E27FC236}">
              <a16:creationId xmlns:a16="http://schemas.microsoft.com/office/drawing/2014/main" xmlns="" id="{00000000-0008-0000-0B00-0000D9000000}"/>
            </a:ext>
          </a:extLst>
        </xdr:cNvPr>
        <xdr:cNvGrpSpPr/>
      </xdr:nvGrpSpPr>
      <xdr:grpSpPr>
        <a:xfrm>
          <a:off x="3297767" y="20295054"/>
          <a:ext cx="6479540" cy="3419475"/>
          <a:chOff x="0" y="0"/>
          <a:chExt cx="6479540" cy="3429000"/>
        </a:xfrm>
      </xdr:grpSpPr>
      <xdr:sp macro="" textlink="">
        <xdr:nvSpPr>
          <xdr:cNvPr id="218" name="Rectangle 217">
            <a:extLst>
              <a:ext uri="{FF2B5EF4-FFF2-40B4-BE49-F238E27FC236}">
                <a16:creationId xmlns:a16="http://schemas.microsoft.com/office/drawing/2014/main" xmlns="" id="{00000000-0008-0000-0B00-0000DA000000}"/>
              </a:ext>
            </a:extLst>
          </xdr:cNvPr>
          <xdr:cNvSpPr/>
        </xdr:nvSpPr>
        <xdr:spPr>
          <a:xfrm>
            <a:off x="0" y="0"/>
            <a:ext cx="6479540" cy="3429000"/>
          </a:xfrm>
          <a:prstGeom prst="rect">
            <a:avLst/>
          </a:prstGeom>
          <a:noFill/>
          <a:ln>
            <a:noFill/>
          </a:ln>
        </xdr:spPr>
      </xdr:sp>
      <xdr:sp macro="" textlink="">
        <xdr:nvSpPr>
          <xdr:cNvPr id="219" name="AutoShape 1158">
            <a:extLst>
              <a:ext uri="{FF2B5EF4-FFF2-40B4-BE49-F238E27FC236}">
                <a16:creationId xmlns:a16="http://schemas.microsoft.com/office/drawing/2014/main" xmlns="" id="{00000000-0008-0000-0B00-0000DB000000}"/>
              </a:ext>
            </a:extLst>
          </xdr:cNvPr>
          <xdr:cNvSpPr>
            <a:spLocks noChangeAspect="1" noChangeArrowheads="1"/>
          </xdr:cNvSpPr>
        </xdr:nvSpPr>
        <xdr:spPr bwMode="auto">
          <a:xfrm>
            <a:off x="0" y="643890"/>
            <a:ext cx="6479540" cy="232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0" name="Rectangle 219">
            <a:extLst>
              <a:ext uri="{FF2B5EF4-FFF2-40B4-BE49-F238E27FC236}">
                <a16:creationId xmlns:a16="http://schemas.microsoft.com/office/drawing/2014/main" xmlns="" id="{00000000-0008-0000-0B00-0000DC000000}"/>
              </a:ext>
            </a:extLst>
          </xdr:cNvPr>
          <xdr:cNvSpPr>
            <a:spLocks noChangeArrowheads="1"/>
          </xdr:cNvSpPr>
        </xdr:nvSpPr>
        <xdr:spPr bwMode="auto">
          <a:xfrm>
            <a:off x="2594610" y="636270"/>
            <a:ext cx="1233805" cy="13798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1" name="Rectangle 220">
            <a:extLst>
              <a:ext uri="{FF2B5EF4-FFF2-40B4-BE49-F238E27FC236}">
                <a16:creationId xmlns:a16="http://schemas.microsoft.com/office/drawing/2014/main" xmlns="" id="{00000000-0008-0000-0B00-0000DD000000}"/>
              </a:ext>
            </a:extLst>
          </xdr:cNvPr>
          <xdr:cNvSpPr>
            <a:spLocks noChangeArrowheads="1"/>
          </xdr:cNvSpPr>
        </xdr:nvSpPr>
        <xdr:spPr bwMode="auto">
          <a:xfrm>
            <a:off x="2594610" y="636270"/>
            <a:ext cx="1233805" cy="13798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22" name="Rectangle 221">
            <a:extLst>
              <a:ext uri="{FF2B5EF4-FFF2-40B4-BE49-F238E27FC236}">
                <a16:creationId xmlns:a16="http://schemas.microsoft.com/office/drawing/2014/main" xmlns="" id="{00000000-0008-0000-0B00-0000DE000000}"/>
              </a:ext>
            </a:extLst>
          </xdr:cNvPr>
          <xdr:cNvSpPr>
            <a:spLocks noChangeArrowheads="1"/>
          </xdr:cNvSpPr>
        </xdr:nvSpPr>
        <xdr:spPr bwMode="auto">
          <a:xfrm>
            <a:off x="2936240" y="685800"/>
            <a:ext cx="551815"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205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23" name="Line 1162">
            <a:extLst>
              <a:ext uri="{FF2B5EF4-FFF2-40B4-BE49-F238E27FC236}">
                <a16:creationId xmlns:a16="http://schemas.microsoft.com/office/drawing/2014/main" xmlns="" id="{00000000-0008-0000-0B00-0000DF000000}"/>
              </a:ext>
            </a:extLst>
          </xdr:cNvPr>
          <xdr:cNvCxnSpPr/>
        </xdr:nvCxnSpPr>
        <xdr:spPr bwMode="auto">
          <a:xfrm flipH="1">
            <a:off x="3908425" y="17094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4" name="Freeform 1163">
            <a:extLst>
              <a:ext uri="{FF2B5EF4-FFF2-40B4-BE49-F238E27FC236}">
                <a16:creationId xmlns:a16="http://schemas.microsoft.com/office/drawing/2014/main" xmlns="" id="{00000000-0008-0000-0B00-0000E0000000}"/>
              </a:ext>
            </a:extLst>
          </xdr:cNvPr>
          <xdr:cNvSpPr>
            <a:spLocks/>
          </xdr:cNvSpPr>
        </xdr:nvSpPr>
        <xdr:spPr bwMode="auto">
          <a:xfrm>
            <a:off x="3828415" y="1664970"/>
            <a:ext cx="92075" cy="88900"/>
          </a:xfrm>
          <a:custGeom>
            <a:avLst/>
            <a:gdLst>
              <a:gd name="T0" fmla="*/ 76 w 76"/>
              <a:gd name="T1" fmla="*/ 74 h 74"/>
              <a:gd name="T2" fmla="*/ 0 w 76"/>
              <a:gd name="T3" fmla="*/ 37 h 74"/>
              <a:gd name="T4" fmla="*/ 76 w 76"/>
              <a:gd name="T5" fmla="*/ 0 h 74"/>
              <a:gd name="T6" fmla="*/ 76 w 76"/>
              <a:gd name="T7" fmla="*/ 74 h 74"/>
            </a:gdLst>
            <a:ahLst/>
            <a:cxnLst>
              <a:cxn ang="0">
                <a:pos x="T0" y="T1"/>
              </a:cxn>
              <a:cxn ang="0">
                <a:pos x="T2" y="T3"/>
              </a:cxn>
              <a:cxn ang="0">
                <a:pos x="T4" y="T5"/>
              </a:cxn>
              <a:cxn ang="0">
                <a:pos x="T6" y="T7"/>
              </a:cxn>
            </a:cxnLst>
            <a:rect l="0" t="0" r="r" b="b"/>
            <a:pathLst>
              <a:path w="76" h="74">
                <a:moveTo>
                  <a:pt x="76" y="74"/>
                </a:moveTo>
                <a:lnTo>
                  <a:pt x="0" y="37"/>
                </a:lnTo>
                <a:lnTo>
                  <a:pt x="76" y="0"/>
                </a:lnTo>
                <a:lnTo>
                  <a:pt x="76"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225" name="Line 1164">
            <a:extLst>
              <a:ext uri="{FF2B5EF4-FFF2-40B4-BE49-F238E27FC236}">
                <a16:creationId xmlns:a16="http://schemas.microsoft.com/office/drawing/2014/main" xmlns="" id="{00000000-0008-0000-0B00-0000E1000000}"/>
              </a:ext>
            </a:extLst>
          </xdr:cNvPr>
          <xdr:cNvCxnSpPr/>
        </xdr:nvCxnSpPr>
        <xdr:spPr bwMode="auto">
          <a:xfrm>
            <a:off x="3828415" y="94297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226" name="Line 1165">
            <a:extLst>
              <a:ext uri="{FF2B5EF4-FFF2-40B4-BE49-F238E27FC236}">
                <a16:creationId xmlns:a16="http://schemas.microsoft.com/office/drawing/2014/main" xmlns="" id="{00000000-0008-0000-0B00-0000E2000000}"/>
              </a:ext>
            </a:extLst>
          </xdr:cNvPr>
          <xdr:cNvCxnSpPr/>
        </xdr:nvCxnSpPr>
        <xdr:spPr bwMode="auto">
          <a:xfrm flipH="1">
            <a:off x="1094106" y="942975"/>
            <a:ext cx="150050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27" name="Rectangle 226">
            <a:extLst>
              <a:ext uri="{FF2B5EF4-FFF2-40B4-BE49-F238E27FC236}">
                <a16:creationId xmlns:a16="http://schemas.microsoft.com/office/drawing/2014/main" xmlns="" id="{00000000-0008-0000-0B00-0000E3000000}"/>
              </a:ext>
            </a:extLst>
          </xdr:cNvPr>
          <xdr:cNvSpPr>
            <a:spLocks noChangeArrowheads="1"/>
          </xdr:cNvSpPr>
        </xdr:nvSpPr>
        <xdr:spPr bwMode="auto">
          <a:xfrm>
            <a:off x="16510" y="789305"/>
            <a:ext cx="107759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28" name="Rectangle 227">
            <a:extLst>
              <a:ext uri="{FF2B5EF4-FFF2-40B4-BE49-F238E27FC236}">
                <a16:creationId xmlns:a16="http://schemas.microsoft.com/office/drawing/2014/main" xmlns="" id="{00000000-0008-0000-0B00-0000E4000000}"/>
              </a:ext>
            </a:extLst>
          </xdr:cNvPr>
          <xdr:cNvSpPr>
            <a:spLocks noChangeArrowheads="1"/>
          </xdr:cNvSpPr>
        </xdr:nvSpPr>
        <xdr:spPr bwMode="auto">
          <a:xfrm>
            <a:off x="16510" y="789305"/>
            <a:ext cx="107759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29" name="Rectangle 228">
            <a:extLst>
              <a:ext uri="{FF2B5EF4-FFF2-40B4-BE49-F238E27FC236}">
                <a16:creationId xmlns:a16="http://schemas.microsoft.com/office/drawing/2014/main" xmlns="" id="{00000000-0008-0000-0B00-0000E5000000}"/>
              </a:ext>
            </a:extLst>
          </xdr:cNvPr>
          <xdr:cNvSpPr>
            <a:spLocks noChangeArrowheads="1"/>
          </xdr:cNvSpPr>
        </xdr:nvSpPr>
        <xdr:spPr bwMode="auto">
          <a:xfrm>
            <a:off x="187960" y="1137920"/>
            <a:ext cx="704215" cy="37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0" name="Rectangle 229">
            <a:extLst>
              <a:ext uri="{FF2B5EF4-FFF2-40B4-BE49-F238E27FC236}">
                <a16:creationId xmlns:a16="http://schemas.microsoft.com/office/drawing/2014/main" xmlns="" id="{00000000-0008-0000-0B00-0000E6000000}"/>
              </a:ext>
            </a:extLst>
          </xdr:cNvPr>
          <xdr:cNvSpPr>
            <a:spLocks noChangeArrowheads="1"/>
          </xdr:cNvSpPr>
        </xdr:nvSpPr>
        <xdr:spPr bwMode="auto">
          <a:xfrm>
            <a:off x="5385435" y="789305"/>
            <a:ext cx="1080135" cy="10725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1" name="Rectangle 230">
            <a:extLst>
              <a:ext uri="{FF2B5EF4-FFF2-40B4-BE49-F238E27FC236}">
                <a16:creationId xmlns:a16="http://schemas.microsoft.com/office/drawing/2014/main" xmlns="" id="{00000000-0008-0000-0B00-0000E7000000}"/>
              </a:ext>
            </a:extLst>
          </xdr:cNvPr>
          <xdr:cNvSpPr>
            <a:spLocks noChangeArrowheads="1"/>
          </xdr:cNvSpPr>
        </xdr:nvSpPr>
        <xdr:spPr bwMode="auto">
          <a:xfrm>
            <a:off x="5385435" y="789305"/>
            <a:ext cx="1080135" cy="107251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2" name="Rectangle 231">
            <a:extLst>
              <a:ext uri="{FF2B5EF4-FFF2-40B4-BE49-F238E27FC236}">
                <a16:creationId xmlns:a16="http://schemas.microsoft.com/office/drawing/2014/main" xmlns="" id="{00000000-0008-0000-0B00-0000E8000000}"/>
              </a:ext>
            </a:extLst>
          </xdr:cNvPr>
          <xdr:cNvSpPr>
            <a:spLocks noChangeArrowheads="1"/>
          </xdr:cNvSpPr>
        </xdr:nvSpPr>
        <xdr:spPr bwMode="auto">
          <a:xfrm>
            <a:off x="5471160" y="1220470"/>
            <a:ext cx="952500" cy="18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33" name="Line 1172">
            <a:extLst>
              <a:ext uri="{FF2B5EF4-FFF2-40B4-BE49-F238E27FC236}">
                <a16:creationId xmlns:a16="http://schemas.microsoft.com/office/drawing/2014/main" xmlns="" id="{00000000-0008-0000-0B00-0000E9000000}"/>
              </a:ext>
            </a:extLst>
          </xdr:cNvPr>
          <xdr:cNvCxnSpPr/>
        </xdr:nvCxnSpPr>
        <xdr:spPr bwMode="auto">
          <a:xfrm>
            <a:off x="1094105" y="1709420"/>
            <a:ext cx="142113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34" name="Freeform 1173">
            <a:extLst>
              <a:ext uri="{FF2B5EF4-FFF2-40B4-BE49-F238E27FC236}">
                <a16:creationId xmlns:a16="http://schemas.microsoft.com/office/drawing/2014/main" xmlns="" id="{00000000-0008-0000-0B00-0000EA000000}"/>
              </a:ext>
            </a:extLst>
          </xdr:cNvPr>
          <xdr:cNvSpPr>
            <a:spLocks/>
          </xdr:cNvSpPr>
        </xdr:nvSpPr>
        <xdr:spPr bwMode="auto">
          <a:xfrm>
            <a:off x="2504440" y="1664970"/>
            <a:ext cx="90170" cy="88900"/>
          </a:xfrm>
          <a:custGeom>
            <a:avLst/>
            <a:gdLst>
              <a:gd name="T0" fmla="*/ 0 w 75"/>
              <a:gd name="T1" fmla="*/ 0 h 74"/>
              <a:gd name="T2" fmla="*/ 75 w 75"/>
              <a:gd name="T3" fmla="*/ 37 h 74"/>
              <a:gd name="T4" fmla="*/ 0 w 75"/>
              <a:gd name="T5" fmla="*/ 74 h 74"/>
              <a:gd name="T6" fmla="*/ 0 w 75"/>
              <a:gd name="T7" fmla="*/ 0 h 74"/>
            </a:gdLst>
            <a:ahLst/>
            <a:cxnLst>
              <a:cxn ang="0">
                <a:pos x="T0" y="T1"/>
              </a:cxn>
              <a:cxn ang="0">
                <a:pos x="T2" y="T3"/>
              </a:cxn>
              <a:cxn ang="0">
                <a:pos x="T4" y="T5"/>
              </a:cxn>
              <a:cxn ang="0">
                <a:pos x="T6" y="T7"/>
              </a:cxn>
            </a:cxnLst>
            <a:rect l="0" t="0" r="r" b="b"/>
            <a:pathLst>
              <a:path w="75" h="74">
                <a:moveTo>
                  <a:pt x="0" y="0"/>
                </a:moveTo>
                <a:lnTo>
                  <a:pt x="75" y="37"/>
                </a:lnTo>
                <a:lnTo>
                  <a:pt x="0" y="74"/>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35" name="Oval 1174">
            <a:extLst>
              <a:ext uri="{FF2B5EF4-FFF2-40B4-BE49-F238E27FC236}">
                <a16:creationId xmlns:a16="http://schemas.microsoft.com/office/drawing/2014/main" xmlns="" id="{00000000-0008-0000-0B00-0000EB000000}"/>
              </a:ext>
            </a:extLst>
          </xdr:cNvPr>
          <xdr:cNvSpPr>
            <a:spLocks noChangeArrowheads="1"/>
          </xdr:cNvSpPr>
        </xdr:nvSpPr>
        <xdr:spPr bwMode="auto">
          <a:xfrm>
            <a:off x="2009140" y="805180"/>
            <a:ext cx="277495"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36" name="Oval 1175">
            <a:extLst>
              <a:ext uri="{FF2B5EF4-FFF2-40B4-BE49-F238E27FC236}">
                <a16:creationId xmlns:a16="http://schemas.microsoft.com/office/drawing/2014/main" xmlns="" id="{00000000-0008-0000-0B00-0000EC000000}"/>
              </a:ext>
            </a:extLst>
          </xdr:cNvPr>
          <xdr:cNvSpPr>
            <a:spLocks noChangeArrowheads="1"/>
          </xdr:cNvSpPr>
        </xdr:nvSpPr>
        <xdr:spPr bwMode="auto">
          <a:xfrm>
            <a:off x="2009140" y="805180"/>
            <a:ext cx="277495"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37" name="Rectangle 236">
            <a:extLst>
              <a:ext uri="{FF2B5EF4-FFF2-40B4-BE49-F238E27FC236}">
                <a16:creationId xmlns:a16="http://schemas.microsoft.com/office/drawing/2014/main" xmlns="" id="{00000000-0008-0000-0B00-0000ED000000}"/>
              </a:ext>
            </a:extLst>
          </xdr:cNvPr>
          <xdr:cNvSpPr>
            <a:spLocks noChangeArrowheads="1"/>
          </xdr:cNvSpPr>
        </xdr:nvSpPr>
        <xdr:spPr bwMode="auto">
          <a:xfrm>
            <a:off x="2096770"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38" name="Oval 1177">
            <a:extLst>
              <a:ext uri="{FF2B5EF4-FFF2-40B4-BE49-F238E27FC236}">
                <a16:creationId xmlns:a16="http://schemas.microsoft.com/office/drawing/2014/main" xmlns="" id="{00000000-0008-0000-0B00-0000EE000000}"/>
              </a:ext>
            </a:extLst>
          </xdr:cNvPr>
          <xdr:cNvSpPr>
            <a:spLocks noChangeArrowheads="1"/>
          </xdr:cNvSpPr>
        </xdr:nvSpPr>
        <xdr:spPr bwMode="auto">
          <a:xfrm>
            <a:off x="4956810" y="805180"/>
            <a:ext cx="276860" cy="27432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39" name="Oval 1178">
            <a:extLst>
              <a:ext uri="{FF2B5EF4-FFF2-40B4-BE49-F238E27FC236}">
                <a16:creationId xmlns:a16="http://schemas.microsoft.com/office/drawing/2014/main" xmlns="" id="{00000000-0008-0000-0B00-0000EF000000}"/>
              </a:ext>
            </a:extLst>
          </xdr:cNvPr>
          <xdr:cNvSpPr>
            <a:spLocks noChangeArrowheads="1"/>
          </xdr:cNvSpPr>
        </xdr:nvSpPr>
        <xdr:spPr bwMode="auto">
          <a:xfrm>
            <a:off x="4956810" y="805180"/>
            <a:ext cx="276860" cy="27432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0" name="Rectangle 239">
            <a:extLst>
              <a:ext uri="{FF2B5EF4-FFF2-40B4-BE49-F238E27FC236}">
                <a16:creationId xmlns:a16="http://schemas.microsoft.com/office/drawing/2014/main" xmlns="" id="{00000000-0008-0000-0B00-0000F0000000}"/>
              </a:ext>
            </a:extLst>
          </xdr:cNvPr>
          <xdr:cNvSpPr>
            <a:spLocks noChangeArrowheads="1"/>
          </xdr:cNvSpPr>
        </xdr:nvSpPr>
        <xdr:spPr bwMode="auto">
          <a:xfrm>
            <a:off x="5045075" y="848995"/>
            <a:ext cx="102870" cy="18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1" name="Freeform 1180">
            <a:extLst>
              <a:ext uri="{FF2B5EF4-FFF2-40B4-BE49-F238E27FC236}">
                <a16:creationId xmlns:a16="http://schemas.microsoft.com/office/drawing/2014/main" xmlns="" id="{00000000-0008-0000-0B00-0000F1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2" name="Freeform 1181">
            <a:extLst>
              <a:ext uri="{FF2B5EF4-FFF2-40B4-BE49-F238E27FC236}">
                <a16:creationId xmlns:a16="http://schemas.microsoft.com/office/drawing/2014/main" xmlns="" id="{00000000-0008-0000-0B00-0000F2000000}"/>
              </a:ext>
            </a:extLst>
          </xdr:cNvPr>
          <xdr:cNvSpPr>
            <a:spLocks/>
          </xdr:cNvSpPr>
        </xdr:nvSpPr>
        <xdr:spPr bwMode="auto">
          <a:xfrm>
            <a:off x="1178560" y="1237615"/>
            <a:ext cx="447040" cy="177800"/>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3" name="Rectangle 242">
            <a:extLst>
              <a:ext uri="{FF2B5EF4-FFF2-40B4-BE49-F238E27FC236}">
                <a16:creationId xmlns:a16="http://schemas.microsoft.com/office/drawing/2014/main" xmlns="" id="{00000000-0008-0000-0B00-0000F3000000}"/>
              </a:ext>
            </a:extLst>
          </xdr:cNvPr>
          <xdr:cNvSpPr>
            <a:spLocks noChangeArrowheads="1"/>
          </xdr:cNvSpPr>
        </xdr:nvSpPr>
        <xdr:spPr bwMode="auto">
          <a:xfrm>
            <a:off x="1280160" y="1257300"/>
            <a:ext cx="320040"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44" name="Freeform 1183">
            <a:extLst>
              <a:ext uri="{FF2B5EF4-FFF2-40B4-BE49-F238E27FC236}">
                <a16:creationId xmlns:a16="http://schemas.microsoft.com/office/drawing/2014/main" xmlns="" id="{00000000-0008-0000-0B00-0000F4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45" name="Freeform 1184">
            <a:extLst>
              <a:ext uri="{FF2B5EF4-FFF2-40B4-BE49-F238E27FC236}">
                <a16:creationId xmlns:a16="http://schemas.microsoft.com/office/drawing/2014/main" xmlns="" id="{00000000-0008-0000-0B00-0000F5000000}"/>
              </a:ext>
            </a:extLst>
          </xdr:cNvPr>
          <xdr:cNvSpPr>
            <a:spLocks/>
          </xdr:cNvSpPr>
        </xdr:nvSpPr>
        <xdr:spPr bwMode="auto">
          <a:xfrm>
            <a:off x="4148455" y="1240790"/>
            <a:ext cx="44831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175" y="0"/>
                </a:lnTo>
                <a:cubicBezTo>
                  <a:pt x="78" y="0"/>
                  <a:pt x="0" y="78"/>
                  <a:pt x="0" y="175"/>
                </a:cubicBezTo>
                <a:cubicBezTo>
                  <a:pt x="0" y="272"/>
                  <a:pt x="78" y="351"/>
                  <a:pt x="175" y="351"/>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46" name="Rectangle 245">
            <a:extLst>
              <a:ext uri="{FF2B5EF4-FFF2-40B4-BE49-F238E27FC236}">
                <a16:creationId xmlns:a16="http://schemas.microsoft.com/office/drawing/2014/main" xmlns="" id="{00000000-0008-0000-0B00-0000F6000000}"/>
              </a:ext>
            </a:extLst>
          </xdr:cNvPr>
          <xdr:cNvSpPr>
            <a:spLocks noChangeArrowheads="1"/>
          </xdr:cNvSpPr>
        </xdr:nvSpPr>
        <xdr:spPr bwMode="auto">
          <a:xfrm>
            <a:off x="4253230" y="1257300"/>
            <a:ext cx="31877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47" name="Line 1186">
            <a:extLst>
              <a:ext uri="{FF2B5EF4-FFF2-40B4-BE49-F238E27FC236}">
                <a16:creationId xmlns:a16="http://schemas.microsoft.com/office/drawing/2014/main" xmlns="" id="{00000000-0008-0000-0B00-0000F7000000}"/>
              </a:ext>
            </a:extLst>
          </xdr:cNvPr>
          <xdr:cNvCxnSpPr/>
        </xdr:nvCxnSpPr>
        <xdr:spPr bwMode="auto">
          <a:xfrm>
            <a:off x="4371975" y="946785"/>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48" name="Line 1187">
            <a:extLst>
              <a:ext uri="{FF2B5EF4-FFF2-40B4-BE49-F238E27FC236}">
                <a16:creationId xmlns:a16="http://schemas.microsoft.com/office/drawing/2014/main" xmlns="" id="{00000000-0008-0000-0B00-0000F8000000}"/>
              </a:ext>
            </a:extLst>
          </xdr:cNvPr>
          <xdr:cNvCxnSpPr/>
        </xdr:nvCxnSpPr>
        <xdr:spPr bwMode="auto">
          <a:xfrm>
            <a:off x="4371975" y="1418590"/>
            <a:ext cx="1270"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49" name="Line 1188">
            <a:extLst>
              <a:ext uri="{FF2B5EF4-FFF2-40B4-BE49-F238E27FC236}">
                <a16:creationId xmlns:a16="http://schemas.microsoft.com/office/drawing/2014/main" xmlns="" id="{00000000-0008-0000-0B00-0000F9000000}"/>
              </a:ext>
            </a:extLst>
          </xdr:cNvPr>
          <xdr:cNvCxnSpPr/>
        </xdr:nvCxnSpPr>
        <xdr:spPr bwMode="auto">
          <a:xfrm flipV="1">
            <a:off x="1403350" y="1415416"/>
            <a:ext cx="635" cy="2940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0" name="Line 1189">
            <a:extLst>
              <a:ext uri="{FF2B5EF4-FFF2-40B4-BE49-F238E27FC236}">
                <a16:creationId xmlns:a16="http://schemas.microsoft.com/office/drawing/2014/main" xmlns="" id="{00000000-0008-0000-0B00-0000FA000000}"/>
              </a:ext>
            </a:extLst>
          </xdr:cNvPr>
          <xdr:cNvCxnSpPr/>
        </xdr:nvCxnSpPr>
        <xdr:spPr bwMode="auto">
          <a:xfrm flipV="1">
            <a:off x="1403350" y="942975"/>
            <a:ext cx="635" cy="294640"/>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1" name="Line 1190">
            <a:extLst>
              <a:ext uri="{FF2B5EF4-FFF2-40B4-BE49-F238E27FC236}">
                <a16:creationId xmlns:a16="http://schemas.microsoft.com/office/drawing/2014/main" xmlns="" id="{00000000-0008-0000-0B00-0000FB000000}"/>
              </a:ext>
            </a:extLst>
          </xdr:cNvPr>
          <xdr:cNvCxnSpPr/>
        </xdr:nvCxnSpPr>
        <xdr:spPr bwMode="auto">
          <a:xfrm flipH="1">
            <a:off x="4225925" y="1558925"/>
            <a:ext cx="146050"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2" name="Line 1191">
            <a:extLst>
              <a:ext uri="{FF2B5EF4-FFF2-40B4-BE49-F238E27FC236}">
                <a16:creationId xmlns:a16="http://schemas.microsoft.com/office/drawing/2014/main" xmlns="" id="{00000000-0008-0000-0B00-0000FC000000}"/>
              </a:ext>
            </a:extLst>
          </xdr:cNvPr>
          <xdr:cNvCxnSpPr/>
        </xdr:nvCxnSpPr>
        <xdr:spPr bwMode="auto">
          <a:xfrm flipH="1">
            <a:off x="4232911" y="1099185"/>
            <a:ext cx="139065" cy="190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3" name="Line 1192">
            <a:extLst>
              <a:ext uri="{FF2B5EF4-FFF2-40B4-BE49-F238E27FC236}">
                <a16:creationId xmlns:a16="http://schemas.microsoft.com/office/drawing/2014/main" xmlns="" id="{00000000-0008-0000-0B00-0000FD000000}"/>
              </a:ext>
            </a:extLst>
          </xdr:cNvPr>
          <xdr:cNvCxnSpPr/>
        </xdr:nvCxnSpPr>
        <xdr:spPr bwMode="auto">
          <a:xfrm>
            <a:off x="1403350" y="1096010"/>
            <a:ext cx="16954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254" name="Line 1193">
            <a:extLst>
              <a:ext uri="{FF2B5EF4-FFF2-40B4-BE49-F238E27FC236}">
                <a16:creationId xmlns:a16="http://schemas.microsoft.com/office/drawing/2014/main" xmlns="" id="{00000000-0008-0000-0B00-0000FE000000}"/>
              </a:ext>
            </a:extLst>
          </xdr:cNvPr>
          <xdr:cNvCxnSpPr/>
        </xdr:nvCxnSpPr>
        <xdr:spPr bwMode="auto">
          <a:xfrm>
            <a:off x="1403350" y="1555750"/>
            <a:ext cx="153035" cy="635"/>
          </a:xfrm>
          <a:prstGeom prst="line">
            <a:avLst/>
          </a:prstGeom>
          <a:noFill/>
          <a:ln w="17463"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255" name="Oval 1194">
            <a:extLst>
              <a:ext uri="{FF2B5EF4-FFF2-40B4-BE49-F238E27FC236}">
                <a16:creationId xmlns:a16="http://schemas.microsoft.com/office/drawing/2014/main" xmlns="" id="{00000000-0008-0000-0B00-0000FF000000}"/>
              </a:ext>
            </a:extLst>
          </xdr:cNvPr>
          <xdr:cNvSpPr>
            <a:spLocks noChangeArrowheads="1"/>
          </xdr:cNvSpPr>
        </xdr:nvSpPr>
        <xdr:spPr bwMode="auto">
          <a:xfrm>
            <a:off x="1556385" y="1479550"/>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56" name="Oval 1195">
            <a:extLst>
              <a:ext uri="{FF2B5EF4-FFF2-40B4-BE49-F238E27FC236}">
                <a16:creationId xmlns:a16="http://schemas.microsoft.com/office/drawing/2014/main" xmlns="" id="{00000000-0008-0000-0B00-000000010000}"/>
              </a:ext>
            </a:extLst>
          </xdr:cNvPr>
          <xdr:cNvSpPr>
            <a:spLocks noChangeArrowheads="1"/>
          </xdr:cNvSpPr>
        </xdr:nvSpPr>
        <xdr:spPr bwMode="auto">
          <a:xfrm>
            <a:off x="1556385" y="1479550"/>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57" name="Rectangle 256">
            <a:extLst>
              <a:ext uri="{FF2B5EF4-FFF2-40B4-BE49-F238E27FC236}">
                <a16:creationId xmlns:a16="http://schemas.microsoft.com/office/drawing/2014/main" xmlns="" id="{00000000-0008-0000-0B00-000001010000}"/>
              </a:ext>
            </a:extLst>
          </xdr:cNvPr>
          <xdr:cNvSpPr>
            <a:spLocks noChangeArrowheads="1"/>
          </xdr:cNvSpPr>
        </xdr:nvSpPr>
        <xdr:spPr bwMode="auto">
          <a:xfrm>
            <a:off x="1598930" y="1489075"/>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58" name="Oval 1197">
            <a:extLst>
              <a:ext uri="{FF2B5EF4-FFF2-40B4-BE49-F238E27FC236}">
                <a16:creationId xmlns:a16="http://schemas.microsoft.com/office/drawing/2014/main" xmlns="" id="{00000000-0008-0000-0B00-000002010000}"/>
              </a:ext>
            </a:extLst>
          </xdr:cNvPr>
          <xdr:cNvSpPr>
            <a:spLocks noChangeArrowheads="1"/>
          </xdr:cNvSpPr>
        </xdr:nvSpPr>
        <xdr:spPr bwMode="auto">
          <a:xfrm>
            <a:off x="1556385" y="1019175"/>
            <a:ext cx="154940"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59" name="Oval 1198">
            <a:extLst>
              <a:ext uri="{FF2B5EF4-FFF2-40B4-BE49-F238E27FC236}">
                <a16:creationId xmlns:a16="http://schemas.microsoft.com/office/drawing/2014/main" xmlns="" id="{00000000-0008-0000-0B00-000003010000}"/>
              </a:ext>
            </a:extLst>
          </xdr:cNvPr>
          <xdr:cNvSpPr>
            <a:spLocks noChangeArrowheads="1"/>
          </xdr:cNvSpPr>
        </xdr:nvSpPr>
        <xdr:spPr bwMode="auto">
          <a:xfrm>
            <a:off x="1556385" y="1019175"/>
            <a:ext cx="154940"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0" name="Rectangle 259">
            <a:extLst>
              <a:ext uri="{FF2B5EF4-FFF2-40B4-BE49-F238E27FC236}">
                <a16:creationId xmlns:a16="http://schemas.microsoft.com/office/drawing/2014/main" xmlns="" id="{00000000-0008-0000-0B00-000004010000}"/>
              </a:ext>
            </a:extLst>
          </xdr:cNvPr>
          <xdr:cNvSpPr>
            <a:spLocks noChangeArrowheads="1"/>
          </xdr:cNvSpPr>
        </xdr:nvSpPr>
        <xdr:spPr bwMode="auto">
          <a:xfrm>
            <a:off x="1598930" y="1035050"/>
            <a:ext cx="6604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1" name="Oval 1200">
            <a:extLst>
              <a:ext uri="{FF2B5EF4-FFF2-40B4-BE49-F238E27FC236}">
                <a16:creationId xmlns:a16="http://schemas.microsoft.com/office/drawing/2014/main" xmlns="" id="{00000000-0008-0000-0B00-000005010000}"/>
              </a:ext>
            </a:extLst>
          </xdr:cNvPr>
          <xdr:cNvSpPr>
            <a:spLocks noChangeArrowheads="1"/>
          </xdr:cNvSpPr>
        </xdr:nvSpPr>
        <xdr:spPr bwMode="auto">
          <a:xfrm>
            <a:off x="4064000" y="1483360"/>
            <a:ext cx="15303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2" name="Oval 1201">
            <a:extLst>
              <a:ext uri="{FF2B5EF4-FFF2-40B4-BE49-F238E27FC236}">
                <a16:creationId xmlns:a16="http://schemas.microsoft.com/office/drawing/2014/main" xmlns="" id="{00000000-0008-0000-0B00-000006010000}"/>
              </a:ext>
            </a:extLst>
          </xdr:cNvPr>
          <xdr:cNvSpPr>
            <a:spLocks noChangeArrowheads="1"/>
          </xdr:cNvSpPr>
        </xdr:nvSpPr>
        <xdr:spPr bwMode="auto">
          <a:xfrm>
            <a:off x="4064000" y="1483360"/>
            <a:ext cx="153035" cy="153670"/>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3" name="Rectangle 262">
            <a:extLst>
              <a:ext uri="{FF2B5EF4-FFF2-40B4-BE49-F238E27FC236}">
                <a16:creationId xmlns:a16="http://schemas.microsoft.com/office/drawing/2014/main" xmlns="" id="{00000000-0008-0000-0B00-000007010000}"/>
              </a:ext>
            </a:extLst>
          </xdr:cNvPr>
          <xdr:cNvSpPr>
            <a:spLocks noChangeArrowheads="1"/>
          </xdr:cNvSpPr>
        </xdr:nvSpPr>
        <xdr:spPr bwMode="auto">
          <a:xfrm>
            <a:off x="4107180" y="149288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4" name="Oval 1203">
            <a:extLst>
              <a:ext uri="{FF2B5EF4-FFF2-40B4-BE49-F238E27FC236}">
                <a16:creationId xmlns:a16="http://schemas.microsoft.com/office/drawing/2014/main" xmlns="" id="{00000000-0008-0000-0B00-000008010000}"/>
              </a:ext>
            </a:extLst>
          </xdr:cNvPr>
          <xdr:cNvSpPr>
            <a:spLocks noChangeArrowheads="1"/>
          </xdr:cNvSpPr>
        </xdr:nvSpPr>
        <xdr:spPr bwMode="auto">
          <a:xfrm>
            <a:off x="4064000" y="1023620"/>
            <a:ext cx="153035"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65" name="Oval 1204">
            <a:extLst>
              <a:ext uri="{FF2B5EF4-FFF2-40B4-BE49-F238E27FC236}">
                <a16:creationId xmlns:a16="http://schemas.microsoft.com/office/drawing/2014/main" xmlns="" id="{00000000-0008-0000-0B00-000009010000}"/>
              </a:ext>
            </a:extLst>
          </xdr:cNvPr>
          <xdr:cNvSpPr>
            <a:spLocks noChangeArrowheads="1"/>
          </xdr:cNvSpPr>
        </xdr:nvSpPr>
        <xdr:spPr bwMode="auto">
          <a:xfrm>
            <a:off x="4064000" y="1023620"/>
            <a:ext cx="153035" cy="153035"/>
          </a:xfrm>
          <a:prstGeom prst="ellipse">
            <a:avLst/>
          </a:prstGeom>
          <a:noFill/>
          <a:ln w="17463"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6" name="Rectangle 265">
            <a:extLst>
              <a:ext uri="{FF2B5EF4-FFF2-40B4-BE49-F238E27FC236}">
                <a16:creationId xmlns:a16="http://schemas.microsoft.com/office/drawing/2014/main" xmlns="" id="{00000000-0008-0000-0B00-00000A010000}"/>
              </a:ext>
            </a:extLst>
          </xdr:cNvPr>
          <xdr:cNvSpPr>
            <a:spLocks noChangeArrowheads="1"/>
          </xdr:cNvSpPr>
        </xdr:nvSpPr>
        <xdr:spPr bwMode="auto">
          <a:xfrm>
            <a:off x="4107180" y="1038225"/>
            <a:ext cx="65405"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67" name="Freeform 1206">
            <a:extLst>
              <a:ext uri="{FF2B5EF4-FFF2-40B4-BE49-F238E27FC236}">
                <a16:creationId xmlns:a16="http://schemas.microsoft.com/office/drawing/2014/main" xmlns="" id="{00000000-0008-0000-0B00-00000B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68" name="Freeform 1207">
            <a:extLst>
              <a:ext uri="{FF2B5EF4-FFF2-40B4-BE49-F238E27FC236}">
                <a16:creationId xmlns:a16="http://schemas.microsoft.com/office/drawing/2014/main" xmlns="" id="{00000000-0008-0000-0B00-00000C010000}"/>
              </a:ext>
            </a:extLst>
          </xdr:cNvPr>
          <xdr:cNvSpPr>
            <a:spLocks/>
          </xdr:cNvSpPr>
        </xdr:nvSpPr>
        <xdr:spPr bwMode="auto">
          <a:xfrm>
            <a:off x="4879340" y="1249045"/>
            <a:ext cx="44640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175 w 877"/>
              <a:gd name="T11" fmla="*/ 0 h 351"/>
              <a:gd name="T12" fmla="*/ 0 w 877"/>
              <a:gd name="T13" fmla="*/ 175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2"/>
                  <a:pt x="877" y="175"/>
                </a:cubicBezTo>
                <a:cubicBezTo>
                  <a:pt x="877" y="79"/>
                  <a:pt x="798" y="0"/>
                  <a:pt x="701" y="0"/>
                </a:cubicBezTo>
                <a:cubicBezTo>
                  <a:pt x="701" y="0"/>
                  <a:pt x="701" y="0"/>
                  <a:pt x="701" y="0"/>
                </a:cubicBezTo>
                <a:lnTo>
                  <a:pt x="175" y="0"/>
                </a:lnTo>
                <a:cubicBezTo>
                  <a:pt x="78" y="0"/>
                  <a:pt x="0" y="79"/>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69" name="Rectangle 268">
            <a:extLst>
              <a:ext uri="{FF2B5EF4-FFF2-40B4-BE49-F238E27FC236}">
                <a16:creationId xmlns:a16="http://schemas.microsoft.com/office/drawing/2014/main" xmlns="" id="{00000000-0008-0000-0B00-00000D010000}"/>
              </a:ext>
            </a:extLst>
          </xdr:cNvPr>
          <xdr:cNvSpPr>
            <a:spLocks noChangeArrowheads="1"/>
          </xdr:cNvSpPr>
        </xdr:nvSpPr>
        <xdr:spPr bwMode="auto">
          <a:xfrm>
            <a:off x="4988559" y="1257300"/>
            <a:ext cx="3968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0" name="Freeform 1209">
            <a:extLst>
              <a:ext uri="{FF2B5EF4-FFF2-40B4-BE49-F238E27FC236}">
                <a16:creationId xmlns:a16="http://schemas.microsoft.com/office/drawing/2014/main" xmlns="" id="{00000000-0008-0000-0B00-00000E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71" name="Freeform 1210">
            <a:extLst>
              <a:ext uri="{FF2B5EF4-FFF2-40B4-BE49-F238E27FC236}">
                <a16:creationId xmlns:a16="http://schemas.microsoft.com/office/drawing/2014/main" xmlns="" id="{00000000-0008-0000-0B00-00000F010000}"/>
              </a:ext>
            </a:extLst>
          </xdr:cNvPr>
          <xdr:cNvSpPr>
            <a:spLocks/>
          </xdr:cNvSpPr>
        </xdr:nvSpPr>
        <xdr:spPr bwMode="auto">
          <a:xfrm>
            <a:off x="1917065" y="1237615"/>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2" name="Rectangle 271">
            <a:extLst>
              <a:ext uri="{FF2B5EF4-FFF2-40B4-BE49-F238E27FC236}">
                <a16:creationId xmlns:a16="http://schemas.microsoft.com/office/drawing/2014/main" xmlns="" id="{00000000-0008-0000-0B00-000010010000}"/>
              </a:ext>
            </a:extLst>
          </xdr:cNvPr>
          <xdr:cNvSpPr>
            <a:spLocks noChangeArrowheads="1"/>
          </xdr:cNvSpPr>
        </xdr:nvSpPr>
        <xdr:spPr bwMode="auto">
          <a:xfrm>
            <a:off x="2022475" y="1257300"/>
            <a:ext cx="423545" cy="14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73" name="Line 1212">
            <a:extLst>
              <a:ext uri="{FF2B5EF4-FFF2-40B4-BE49-F238E27FC236}">
                <a16:creationId xmlns:a16="http://schemas.microsoft.com/office/drawing/2014/main" xmlns="" id="{00000000-0008-0000-0B00-000011010000}"/>
              </a:ext>
            </a:extLst>
          </xdr:cNvPr>
          <xdr:cNvCxnSpPr/>
        </xdr:nvCxnSpPr>
        <xdr:spPr bwMode="auto">
          <a:xfrm>
            <a:off x="5102225" y="1079500"/>
            <a:ext cx="635"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274" name="Line 1213">
            <a:extLst>
              <a:ext uri="{FF2B5EF4-FFF2-40B4-BE49-F238E27FC236}">
                <a16:creationId xmlns:a16="http://schemas.microsoft.com/office/drawing/2014/main" xmlns="" id="{00000000-0008-0000-0B00-000012010000}"/>
              </a:ext>
            </a:extLst>
          </xdr:cNvPr>
          <xdr:cNvCxnSpPr/>
        </xdr:nvCxnSpPr>
        <xdr:spPr bwMode="auto">
          <a:xfrm>
            <a:off x="2141220" y="10795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275" name="Rectangle 274">
            <a:extLst>
              <a:ext uri="{FF2B5EF4-FFF2-40B4-BE49-F238E27FC236}">
                <a16:creationId xmlns:a16="http://schemas.microsoft.com/office/drawing/2014/main" xmlns="" id="{00000000-0008-0000-0B00-000013010000}"/>
              </a:ext>
            </a:extLst>
          </xdr:cNvPr>
          <xdr:cNvSpPr>
            <a:spLocks noChangeArrowheads="1"/>
          </xdr:cNvSpPr>
        </xdr:nvSpPr>
        <xdr:spPr bwMode="auto">
          <a:xfrm>
            <a:off x="2672715" y="1364615"/>
            <a:ext cx="1080135" cy="3835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76" name="Rectangle 275">
            <a:extLst>
              <a:ext uri="{FF2B5EF4-FFF2-40B4-BE49-F238E27FC236}">
                <a16:creationId xmlns:a16="http://schemas.microsoft.com/office/drawing/2014/main" xmlns="" id="{00000000-0008-0000-0B00-000014010000}"/>
              </a:ext>
            </a:extLst>
          </xdr:cNvPr>
          <xdr:cNvSpPr>
            <a:spLocks noChangeArrowheads="1"/>
          </xdr:cNvSpPr>
        </xdr:nvSpPr>
        <xdr:spPr bwMode="auto">
          <a:xfrm>
            <a:off x="2672715" y="1364615"/>
            <a:ext cx="1080135" cy="38354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77" name="Rectangle 276">
            <a:extLst>
              <a:ext uri="{FF2B5EF4-FFF2-40B4-BE49-F238E27FC236}">
                <a16:creationId xmlns:a16="http://schemas.microsoft.com/office/drawing/2014/main" xmlns="" id="{00000000-0008-0000-0B00-000015010000}"/>
              </a:ext>
            </a:extLst>
          </xdr:cNvPr>
          <xdr:cNvSpPr>
            <a:spLocks noChangeArrowheads="1"/>
          </xdr:cNvSpPr>
        </xdr:nvSpPr>
        <xdr:spPr bwMode="auto">
          <a:xfrm>
            <a:off x="2743200" y="1489075"/>
            <a:ext cx="102870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78" name="Freeform 1217">
            <a:extLst>
              <a:ext uri="{FF2B5EF4-FFF2-40B4-BE49-F238E27FC236}">
                <a16:creationId xmlns:a16="http://schemas.microsoft.com/office/drawing/2014/main" xmlns="" id="{00000000-0008-0000-0B00-000016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79" name="Freeform 1218">
            <a:extLst>
              <a:ext uri="{FF2B5EF4-FFF2-40B4-BE49-F238E27FC236}">
                <a16:creationId xmlns:a16="http://schemas.microsoft.com/office/drawing/2014/main" xmlns="" id="{00000000-0008-0000-0B00-000017010000}"/>
              </a:ext>
            </a:extLst>
          </xdr:cNvPr>
          <xdr:cNvSpPr>
            <a:spLocks/>
          </xdr:cNvSpPr>
        </xdr:nvSpPr>
        <xdr:spPr bwMode="auto">
          <a:xfrm>
            <a:off x="29210" y="214503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0" name="Rectangle 279">
            <a:extLst>
              <a:ext uri="{FF2B5EF4-FFF2-40B4-BE49-F238E27FC236}">
                <a16:creationId xmlns:a16="http://schemas.microsoft.com/office/drawing/2014/main" xmlns="" id="{00000000-0008-0000-0B00-000018010000}"/>
              </a:ext>
            </a:extLst>
          </xdr:cNvPr>
          <xdr:cNvSpPr>
            <a:spLocks noChangeArrowheads="1"/>
          </xdr:cNvSpPr>
        </xdr:nvSpPr>
        <xdr:spPr bwMode="auto">
          <a:xfrm>
            <a:off x="130810" y="2171700"/>
            <a:ext cx="326390" cy="127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1" name="Freeform 1220">
            <a:extLst>
              <a:ext uri="{FF2B5EF4-FFF2-40B4-BE49-F238E27FC236}">
                <a16:creationId xmlns:a16="http://schemas.microsoft.com/office/drawing/2014/main" xmlns="" id="{00000000-0008-0000-0B00-000019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82" name="Freeform 1221">
            <a:extLst>
              <a:ext uri="{FF2B5EF4-FFF2-40B4-BE49-F238E27FC236}">
                <a16:creationId xmlns:a16="http://schemas.microsoft.com/office/drawing/2014/main" xmlns="" id="{00000000-0008-0000-0B00-00001A010000}"/>
              </a:ext>
            </a:extLst>
          </xdr:cNvPr>
          <xdr:cNvSpPr>
            <a:spLocks/>
          </xdr:cNvSpPr>
        </xdr:nvSpPr>
        <xdr:spPr bwMode="auto">
          <a:xfrm>
            <a:off x="29210" y="2451735"/>
            <a:ext cx="446405" cy="177800"/>
          </a:xfrm>
          <a:custGeom>
            <a:avLst/>
            <a:gdLst>
              <a:gd name="T0" fmla="*/ 176 w 877"/>
              <a:gd name="T1" fmla="*/ 350 h 350"/>
              <a:gd name="T2" fmla="*/ 702 w 877"/>
              <a:gd name="T3" fmla="*/ 350 h 350"/>
              <a:gd name="T4" fmla="*/ 877 w 877"/>
              <a:gd name="T5" fmla="*/ 175 h 350"/>
              <a:gd name="T6" fmla="*/ 702 w 877"/>
              <a:gd name="T7" fmla="*/ 0 h 350"/>
              <a:gd name="T8" fmla="*/ 702 w 877"/>
              <a:gd name="T9" fmla="*/ 0 h 350"/>
              <a:gd name="T10" fmla="*/ 702 w 877"/>
              <a:gd name="T11" fmla="*/ 0 h 350"/>
              <a:gd name="T12" fmla="*/ 176 w 877"/>
              <a:gd name="T13" fmla="*/ 0 h 350"/>
              <a:gd name="T14" fmla="*/ 0 w 877"/>
              <a:gd name="T15" fmla="*/ 175 h 350"/>
              <a:gd name="T16" fmla="*/ 176 w 877"/>
              <a:gd name="T17" fmla="*/ 350 h 3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0">
                <a:moveTo>
                  <a:pt x="176" y="350"/>
                </a:moveTo>
                <a:lnTo>
                  <a:pt x="702" y="350"/>
                </a:lnTo>
                <a:cubicBezTo>
                  <a:pt x="799" y="350"/>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0"/>
                  <a:pt x="176" y="350"/>
                </a:cubicBezTo>
                <a:close/>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3" name="Rectangle 282">
            <a:extLst>
              <a:ext uri="{FF2B5EF4-FFF2-40B4-BE49-F238E27FC236}">
                <a16:creationId xmlns:a16="http://schemas.microsoft.com/office/drawing/2014/main" xmlns="" id="{00000000-0008-0000-0B00-00001B010000}"/>
              </a:ext>
            </a:extLst>
          </xdr:cNvPr>
          <xdr:cNvSpPr>
            <a:spLocks noChangeArrowheads="1"/>
          </xdr:cNvSpPr>
        </xdr:nvSpPr>
        <xdr:spPr bwMode="auto">
          <a:xfrm>
            <a:off x="130810" y="2493645"/>
            <a:ext cx="32639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4" name="Oval 1223">
            <a:extLst>
              <a:ext uri="{FF2B5EF4-FFF2-40B4-BE49-F238E27FC236}">
                <a16:creationId xmlns:a16="http://schemas.microsoft.com/office/drawing/2014/main" xmlns="" id="{00000000-0008-0000-0B00-00001C010000}"/>
              </a:ext>
            </a:extLst>
          </xdr:cNvPr>
          <xdr:cNvSpPr>
            <a:spLocks noChangeArrowheads="1"/>
          </xdr:cNvSpPr>
        </xdr:nvSpPr>
        <xdr:spPr bwMode="auto">
          <a:xfrm>
            <a:off x="175260" y="2769870"/>
            <a:ext cx="154305" cy="15367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285" name="Freeform 1224">
            <a:extLst>
              <a:ext uri="{FF2B5EF4-FFF2-40B4-BE49-F238E27FC236}">
                <a16:creationId xmlns:a16="http://schemas.microsoft.com/office/drawing/2014/main" xmlns="" id="{00000000-0008-0000-0B00-00001D010000}"/>
              </a:ext>
            </a:extLst>
          </xdr:cNvPr>
          <xdr:cNvSpPr>
            <a:spLocks/>
          </xdr:cNvSpPr>
        </xdr:nvSpPr>
        <xdr:spPr bwMode="auto">
          <a:xfrm>
            <a:off x="175260" y="2769870"/>
            <a:ext cx="154305" cy="153670"/>
          </a:xfrm>
          <a:custGeom>
            <a:avLst/>
            <a:gdLst>
              <a:gd name="T0" fmla="*/ 127 w 127"/>
              <a:gd name="T1" fmla="*/ 64 h 127"/>
              <a:gd name="T2" fmla="*/ 63 w 127"/>
              <a:gd name="T3" fmla="*/ 0 h 127"/>
              <a:gd name="T4" fmla="*/ 0 w 127"/>
              <a:gd name="T5" fmla="*/ 64 h 127"/>
              <a:gd name="T6" fmla="*/ 63 w 127"/>
              <a:gd name="T7" fmla="*/ 127 h 127"/>
              <a:gd name="T8" fmla="*/ 127 w 127"/>
              <a:gd name="T9" fmla="*/ 64 h 127"/>
            </a:gdLst>
            <a:ahLst/>
            <a:cxnLst>
              <a:cxn ang="0">
                <a:pos x="T0" y="T1"/>
              </a:cxn>
              <a:cxn ang="0">
                <a:pos x="T2" y="T3"/>
              </a:cxn>
              <a:cxn ang="0">
                <a:pos x="T4" y="T5"/>
              </a:cxn>
              <a:cxn ang="0">
                <a:pos x="T6" y="T7"/>
              </a:cxn>
              <a:cxn ang="0">
                <a:pos x="T8" y="T9"/>
              </a:cxn>
            </a:cxnLst>
            <a:rect l="0" t="0" r="r" b="b"/>
            <a:pathLst>
              <a:path w="127" h="127">
                <a:moveTo>
                  <a:pt x="127" y="64"/>
                </a:moveTo>
                <a:cubicBezTo>
                  <a:pt x="127" y="28"/>
                  <a:pt x="98" y="0"/>
                  <a:pt x="63" y="0"/>
                </a:cubicBezTo>
                <a:cubicBezTo>
                  <a:pt x="28" y="0"/>
                  <a:pt x="0" y="28"/>
                  <a:pt x="0" y="64"/>
                </a:cubicBezTo>
                <a:cubicBezTo>
                  <a:pt x="0" y="98"/>
                  <a:pt x="28" y="127"/>
                  <a:pt x="63" y="127"/>
                </a:cubicBezTo>
                <a:cubicBezTo>
                  <a:pt x="98" y="127"/>
                  <a:pt x="127" y="98"/>
                  <a:pt x="127" y="64"/>
                </a:cubicBezTo>
              </a:path>
            </a:pathLst>
          </a:custGeom>
          <a:noFill/>
          <a:ln w="17463"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6" name="Rectangle 285">
            <a:extLst>
              <a:ext uri="{FF2B5EF4-FFF2-40B4-BE49-F238E27FC236}">
                <a16:creationId xmlns:a16="http://schemas.microsoft.com/office/drawing/2014/main" xmlns="" id="{00000000-0008-0000-0B00-00001E010000}"/>
              </a:ext>
            </a:extLst>
          </xdr:cNvPr>
          <xdr:cNvSpPr>
            <a:spLocks noChangeArrowheads="1"/>
          </xdr:cNvSpPr>
        </xdr:nvSpPr>
        <xdr:spPr bwMode="auto">
          <a:xfrm>
            <a:off x="220345" y="2779395"/>
            <a:ext cx="6477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87" name="Rectangle 286">
            <a:extLst>
              <a:ext uri="{FF2B5EF4-FFF2-40B4-BE49-F238E27FC236}">
                <a16:creationId xmlns:a16="http://schemas.microsoft.com/office/drawing/2014/main" xmlns="" id="{00000000-0008-0000-0B00-00001F010000}"/>
              </a:ext>
            </a:extLst>
          </xdr:cNvPr>
          <xdr:cNvSpPr>
            <a:spLocks noChangeArrowheads="1"/>
          </xdr:cNvSpPr>
        </xdr:nvSpPr>
        <xdr:spPr bwMode="auto">
          <a:xfrm>
            <a:off x="605155" y="2169160"/>
            <a:ext cx="106426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88" name="Rectangle 287">
            <a:extLst>
              <a:ext uri="{FF2B5EF4-FFF2-40B4-BE49-F238E27FC236}">
                <a16:creationId xmlns:a16="http://schemas.microsoft.com/office/drawing/2014/main" xmlns="" id="{00000000-0008-0000-0B00-000020010000}"/>
              </a:ext>
            </a:extLst>
          </xdr:cNvPr>
          <xdr:cNvSpPr>
            <a:spLocks noChangeArrowheads="1"/>
          </xdr:cNvSpPr>
        </xdr:nvSpPr>
        <xdr:spPr bwMode="auto">
          <a:xfrm>
            <a:off x="605155" y="2169160"/>
            <a:ext cx="106426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89" name="Rectangle 288">
            <a:extLst>
              <a:ext uri="{FF2B5EF4-FFF2-40B4-BE49-F238E27FC236}">
                <a16:creationId xmlns:a16="http://schemas.microsoft.com/office/drawing/2014/main" xmlns="" id="{00000000-0008-0000-0B00-000021010000}"/>
              </a:ext>
            </a:extLst>
          </xdr:cNvPr>
          <xdr:cNvSpPr>
            <a:spLocks noChangeArrowheads="1"/>
          </xdr:cNvSpPr>
        </xdr:nvSpPr>
        <xdr:spPr bwMode="auto">
          <a:xfrm>
            <a:off x="643890" y="2171700"/>
            <a:ext cx="129921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0" name="Rectangle 289">
            <a:extLst>
              <a:ext uri="{FF2B5EF4-FFF2-40B4-BE49-F238E27FC236}">
                <a16:creationId xmlns:a16="http://schemas.microsoft.com/office/drawing/2014/main" xmlns="" id="{00000000-0008-0000-0B00-000022010000}"/>
              </a:ext>
            </a:extLst>
          </xdr:cNvPr>
          <xdr:cNvSpPr>
            <a:spLocks noChangeArrowheads="1"/>
          </xdr:cNvSpPr>
        </xdr:nvSpPr>
        <xdr:spPr bwMode="auto">
          <a:xfrm>
            <a:off x="617220" y="2781935"/>
            <a:ext cx="114744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1" name="Rectangle 290">
            <a:extLst>
              <a:ext uri="{FF2B5EF4-FFF2-40B4-BE49-F238E27FC236}">
                <a16:creationId xmlns:a16="http://schemas.microsoft.com/office/drawing/2014/main" xmlns="" id="{00000000-0008-0000-0B00-000023010000}"/>
              </a:ext>
            </a:extLst>
          </xdr:cNvPr>
          <xdr:cNvSpPr>
            <a:spLocks noChangeArrowheads="1"/>
          </xdr:cNvSpPr>
        </xdr:nvSpPr>
        <xdr:spPr bwMode="auto">
          <a:xfrm>
            <a:off x="617220" y="2781935"/>
            <a:ext cx="114744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2" name="Rectangle 291">
            <a:extLst>
              <a:ext uri="{FF2B5EF4-FFF2-40B4-BE49-F238E27FC236}">
                <a16:creationId xmlns:a16="http://schemas.microsoft.com/office/drawing/2014/main" xmlns="" id="{00000000-0008-0000-0B00-000024010000}"/>
              </a:ext>
            </a:extLst>
          </xdr:cNvPr>
          <xdr:cNvSpPr>
            <a:spLocks noChangeArrowheads="1"/>
          </xdr:cNvSpPr>
        </xdr:nvSpPr>
        <xdr:spPr bwMode="auto">
          <a:xfrm>
            <a:off x="652780" y="280987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3" name="Rectangle 292">
            <a:extLst>
              <a:ext uri="{FF2B5EF4-FFF2-40B4-BE49-F238E27FC236}">
                <a16:creationId xmlns:a16="http://schemas.microsoft.com/office/drawing/2014/main" xmlns="" id="{00000000-0008-0000-0B00-000025010000}"/>
              </a:ext>
            </a:extLst>
          </xdr:cNvPr>
          <xdr:cNvSpPr>
            <a:spLocks noChangeArrowheads="1"/>
          </xdr:cNvSpPr>
        </xdr:nvSpPr>
        <xdr:spPr bwMode="auto">
          <a:xfrm>
            <a:off x="610235" y="2475865"/>
            <a:ext cx="1043305" cy="1504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294" name="Rectangle 293">
            <a:extLst>
              <a:ext uri="{FF2B5EF4-FFF2-40B4-BE49-F238E27FC236}">
                <a16:creationId xmlns:a16="http://schemas.microsoft.com/office/drawing/2014/main" xmlns="" id="{00000000-0008-0000-0B00-000026010000}"/>
              </a:ext>
            </a:extLst>
          </xdr:cNvPr>
          <xdr:cNvSpPr>
            <a:spLocks noChangeArrowheads="1"/>
          </xdr:cNvSpPr>
        </xdr:nvSpPr>
        <xdr:spPr bwMode="auto">
          <a:xfrm>
            <a:off x="610235" y="2475865"/>
            <a:ext cx="1043305" cy="15049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5" name="Rectangle 294">
            <a:extLst>
              <a:ext uri="{FF2B5EF4-FFF2-40B4-BE49-F238E27FC236}">
                <a16:creationId xmlns:a16="http://schemas.microsoft.com/office/drawing/2014/main" xmlns="" id="{00000000-0008-0000-0B00-000027010000}"/>
              </a:ext>
            </a:extLst>
          </xdr:cNvPr>
          <xdr:cNvSpPr>
            <a:spLocks noChangeArrowheads="1"/>
          </xdr:cNvSpPr>
        </xdr:nvSpPr>
        <xdr:spPr bwMode="auto">
          <a:xfrm>
            <a:off x="652780" y="2514600"/>
            <a:ext cx="16332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296" name="Freeform 1235">
            <a:extLst>
              <a:ext uri="{FF2B5EF4-FFF2-40B4-BE49-F238E27FC236}">
                <a16:creationId xmlns:a16="http://schemas.microsoft.com/office/drawing/2014/main" xmlns="" id="{00000000-0008-0000-0B00-000028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297" name="Freeform 1236">
            <a:extLst>
              <a:ext uri="{FF2B5EF4-FFF2-40B4-BE49-F238E27FC236}">
                <a16:creationId xmlns:a16="http://schemas.microsoft.com/office/drawing/2014/main" xmlns="" id="{00000000-0008-0000-0B00-000029010000}"/>
              </a:ext>
            </a:extLst>
          </xdr:cNvPr>
          <xdr:cNvSpPr>
            <a:spLocks/>
          </xdr:cNvSpPr>
        </xdr:nvSpPr>
        <xdr:spPr bwMode="auto">
          <a:xfrm>
            <a:off x="2607310" y="2169160"/>
            <a:ext cx="44767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6"/>
                </a:cubicBezTo>
                <a:cubicBezTo>
                  <a:pt x="877" y="79"/>
                  <a:pt x="799" y="0"/>
                  <a:pt x="702" y="0"/>
                </a:cubicBezTo>
                <a:cubicBezTo>
                  <a:pt x="702" y="0"/>
                  <a:pt x="702" y="0"/>
                  <a:pt x="702" y="0"/>
                </a:cubicBezTo>
                <a:lnTo>
                  <a:pt x="702" y="0"/>
                </a:lnTo>
                <a:lnTo>
                  <a:pt x="176" y="0"/>
                </a:lnTo>
                <a:cubicBezTo>
                  <a:pt x="79" y="0"/>
                  <a:pt x="0" y="79"/>
                  <a:pt x="0" y="176"/>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298" name="Rectangle 297">
            <a:extLst>
              <a:ext uri="{FF2B5EF4-FFF2-40B4-BE49-F238E27FC236}">
                <a16:creationId xmlns:a16="http://schemas.microsoft.com/office/drawing/2014/main" xmlns="" id="{00000000-0008-0000-0B00-00002A010000}"/>
              </a:ext>
            </a:extLst>
          </xdr:cNvPr>
          <xdr:cNvSpPr>
            <a:spLocks noChangeArrowheads="1"/>
          </xdr:cNvSpPr>
        </xdr:nvSpPr>
        <xdr:spPr bwMode="auto">
          <a:xfrm>
            <a:off x="2715895" y="21717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299" name="Line 1238">
            <a:extLst>
              <a:ext uri="{FF2B5EF4-FFF2-40B4-BE49-F238E27FC236}">
                <a16:creationId xmlns:a16="http://schemas.microsoft.com/office/drawing/2014/main" xmlns="" id="{00000000-0008-0000-0B00-00002B010000}"/>
              </a:ext>
            </a:extLst>
          </xdr:cNvPr>
          <xdr:cNvCxnSpPr/>
        </xdr:nvCxnSpPr>
        <xdr:spPr bwMode="auto">
          <a:xfrm flipV="1">
            <a:off x="2831465" y="2016126"/>
            <a:ext cx="635"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0" name="Freeform 1239">
            <a:extLst>
              <a:ext uri="{FF2B5EF4-FFF2-40B4-BE49-F238E27FC236}">
                <a16:creationId xmlns:a16="http://schemas.microsoft.com/office/drawing/2014/main" xmlns="" id="{00000000-0008-0000-0B00-00002C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01" name="Freeform 1240">
            <a:extLst>
              <a:ext uri="{FF2B5EF4-FFF2-40B4-BE49-F238E27FC236}">
                <a16:creationId xmlns:a16="http://schemas.microsoft.com/office/drawing/2014/main" xmlns="" id="{00000000-0008-0000-0B00-00002D010000}"/>
              </a:ext>
            </a:extLst>
          </xdr:cNvPr>
          <xdr:cNvSpPr>
            <a:spLocks/>
          </xdr:cNvSpPr>
        </xdr:nvSpPr>
        <xdr:spPr bwMode="auto">
          <a:xfrm>
            <a:off x="3364230" y="2169160"/>
            <a:ext cx="44577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8" y="0"/>
                  <a:pt x="0" y="79"/>
                  <a:pt x="0" y="176"/>
                </a:cubicBezTo>
                <a:cubicBezTo>
                  <a:pt x="0" y="272"/>
                  <a:pt x="78" y="351"/>
                  <a:pt x="175"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2" name="Rectangle 301">
            <a:extLst>
              <a:ext uri="{FF2B5EF4-FFF2-40B4-BE49-F238E27FC236}">
                <a16:creationId xmlns:a16="http://schemas.microsoft.com/office/drawing/2014/main" xmlns="" id="{00000000-0008-0000-0B00-00002E010000}"/>
              </a:ext>
            </a:extLst>
          </xdr:cNvPr>
          <xdr:cNvSpPr>
            <a:spLocks noChangeArrowheads="1"/>
          </xdr:cNvSpPr>
        </xdr:nvSpPr>
        <xdr:spPr bwMode="auto">
          <a:xfrm>
            <a:off x="3466465" y="2171700"/>
            <a:ext cx="49593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03" name="Line 1242">
            <a:extLst>
              <a:ext uri="{FF2B5EF4-FFF2-40B4-BE49-F238E27FC236}">
                <a16:creationId xmlns:a16="http://schemas.microsoft.com/office/drawing/2014/main" xmlns="" id="{00000000-0008-0000-0B00-00002F010000}"/>
              </a:ext>
            </a:extLst>
          </xdr:cNvPr>
          <xdr:cNvCxnSpPr/>
        </xdr:nvCxnSpPr>
        <xdr:spPr bwMode="auto">
          <a:xfrm flipV="1">
            <a:off x="3586480" y="2016126"/>
            <a:ext cx="1270" cy="153035"/>
          </a:xfrm>
          <a:prstGeom prst="line">
            <a:avLst/>
          </a:prstGeom>
          <a:noFill/>
          <a:ln w="17526"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304" name="Rectangle 303">
            <a:extLst>
              <a:ext uri="{FF2B5EF4-FFF2-40B4-BE49-F238E27FC236}">
                <a16:creationId xmlns:a16="http://schemas.microsoft.com/office/drawing/2014/main" xmlns="" id="{00000000-0008-0000-0B00-000030010000}"/>
              </a:ext>
            </a:extLst>
          </xdr:cNvPr>
          <xdr:cNvSpPr>
            <a:spLocks noChangeArrowheads="1"/>
          </xdr:cNvSpPr>
        </xdr:nvSpPr>
        <xdr:spPr bwMode="auto">
          <a:xfrm>
            <a:off x="2677795" y="2399665"/>
            <a:ext cx="30861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5" name="Rectangle 304">
            <a:extLst>
              <a:ext uri="{FF2B5EF4-FFF2-40B4-BE49-F238E27FC236}">
                <a16:creationId xmlns:a16="http://schemas.microsoft.com/office/drawing/2014/main" xmlns="" id="{00000000-0008-0000-0B00-000031010000}"/>
              </a:ext>
            </a:extLst>
          </xdr:cNvPr>
          <xdr:cNvSpPr>
            <a:spLocks noChangeArrowheads="1"/>
          </xdr:cNvSpPr>
        </xdr:nvSpPr>
        <xdr:spPr bwMode="auto">
          <a:xfrm>
            <a:off x="2677795" y="2399665"/>
            <a:ext cx="308610" cy="1524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6" name="Rectangle 305">
            <a:extLst>
              <a:ext uri="{FF2B5EF4-FFF2-40B4-BE49-F238E27FC236}">
                <a16:creationId xmlns:a16="http://schemas.microsoft.com/office/drawing/2014/main" xmlns="" id="{00000000-0008-0000-0B00-000032010000}"/>
              </a:ext>
            </a:extLst>
          </xdr:cNvPr>
          <xdr:cNvSpPr>
            <a:spLocks noChangeArrowheads="1"/>
          </xdr:cNvSpPr>
        </xdr:nvSpPr>
        <xdr:spPr bwMode="auto">
          <a:xfrm>
            <a:off x="2715895" y="2414270"/>
            <a:ext cx="484505"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07" name="Rectangle 306">
            <a:extLst>
              <a:ext uri="{FF2B5EF4-FFF2-40B4-BE49-F238E27FC236}">
                <a16:creationId xmlns:a16="http://schemas.microsoft.com/office/drawing/2014/main" xmlns="" id="{00000000-0008-0000-0B00-000033010000}"/>
              </a:ext>
            </a:extLst>
          </xdr:cNvPr>
          <xdr:cNvSpPr>
            <a:spLocks noChangeArrowheads="1"/>
          </xdr:cNvSpPr>
        </xdr:nvSpPr>
        <xdr:spPr bwMode="auto">
          <a:xfrm>
            <a:off x="3364230" y="2399665"/>
            <a:ext cx="46228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08" name="Rectangle 307">
            <a:extLst>
              <a:ext uri="{FF2B5EF4-FFF2-40B4-BE49-F238E27FC236}">
                <a16:creationId xmlns:a16="http://schemas.microsoft.com/office/drawing/2014/main" xmlns="" id="{00000000-0008-0000-0B00-000034010000}"/>
              </a:ext>
            </a:extLst>
          </xdr:cNvPr>
          <xdr:cNvSpPr>
            <a:spLocks noChangeArrowheads="1"/>
          </xdr:cNvSpPr>
        </xdr:nvSpPr>
        <xdr:spPr bwMode="auto">
          <a:xfrm>
            <a:off x="3364230" y="2400300"/>
            <a:ext cx="979170" cy="22860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09" name="Rectangle 308">
            <a:extLst>
              <a:ext uri="{FF2B5EF4-FFF2-40B4-BE49-F238E27FC236}">
                <a16:creationId xmlns:a16="http://schemas.microsoft.com/office/drawing/2014/main" xmlns="" id="{00000000-0008-0000-0B00-000035010000}"/>
              </a:ext>
            </a:extLst>
          </xdr:cNvPr>
          <xdr:cNvSpPr>
            <a:spLocks noChangeArrowheads="1"/>
          </xdr:cNvSpPr>
        </xdr:nvSpPr>
        <xdr:spPr bwMode="auto">
          <a:xfrm>
            <a:off x="3409950" y="2414270"/>
            <a:ext cx="704850" cy="21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10" name="Line 1249">
            <a:extLst>
              <a:ext uri="{FF2B5EF4-FFF2-40B4-BE49-F238E27FC236}">
                <a16:creationId xmlns:a16="http://schemas.microsoft.com/office/drawing/2014/main" xmlns="" id="{00000000-0008-0000-0B00-000036010000}"/>
              </a:ext>
            </a:extLst>
          </xdr:cNvPr>
          <xdr:cNvCxnSpPr/>
        </xdr:nvCxnSpPr>
        <xdr:spPr bwMode="auto">
          <a:xfrm>
            <a:off x="4721860" y="342900"/>
            <a:ext cx="0" cy="260731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311" name="Freeform 1250">
            <a:extLst>
              <a:ext uri="{FF2B5EF4-FFF2-40B4-BE49-F238E27FC236}">
                <a16:creationId xmlns:a16="http://schemas.microsoft.com/office/drawing/2014/main" xmlns="" id="{00000000-0008-0000-0B00-000037010000}"/>
              </a:ext>
            </a:extLst>
          </xdr:cNvPr>
          <xdr:cNvSpPr>
            <a:spLocks/>
          </xdr:cNvSpPr>
        </xdr:nvSpPr>
        <xdr:spPr bwMode="auto">
          <a:xfrm>
            <a:off x="0" y="3086100"/>
            <a:ext cx="44640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7526"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12" name="Rectangle 311">
            <a:extLst>
              <a:ext uri="{FF2B5EF4-FFF2-40B4-BE49-F238E27FC236}">
                <a16:creationId xmlns:a16="http://schemas.microsoft.com/office/drawing/2014/main" xmlns="" id="{00000000-0008-0000-0B00-000038010000}"/>
              </a:ext>
            </a:extLst>
          </xdr:cNvPr>
          <xdr:cNvSpPr>
            <a:spLocks noChangeArrowheads="1"/>
          </xdr:cNvSpPr>
        </xdr:nvSpPr>
        <xdr:spPr bwMode="auto">
          <a:xfrm>
            <a:off x="652780" y="3086735"/>
            <a:ext cx="129032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3" name="Rectangle 312">
            <a:extLst>
              <a:ext uri="{FF2B5EF4-FFF2-40B4-BE49-F238E27FC236}">
                <a16:creationId xmlns:a16="http://schemas.microsoft.com/office/drawing/2014/main" xmlns="" id="{00000000-0008-0000-0B00-000039010000}"/>
              </a:ext>
            </a:extLst>
          </xdr:cNvPr>
          <xdr:cNvSpPr>
            <a:spLocks noChangeArrowheads="1"/>
          </xdr:cNvSpPr>
        </xdr:nvSpPr>
        <xdr:spPr bwMode="auto">
          <a:xfrm>
            <a:off x="114300" y="3086100"/>
            <a:ext cx="370205" cy="151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14" name="Freeform 1253">
            <a:extLst>
              <a:ext uri="{FF2B5EF4-FFF2-40B4-BE49-F238E27FC236}">
                <a16:creationId xmlns:a16="http://schemas.microsoft.com/office/drawing/2014/main" xmlns="" id="{00000000-0008-0000-0B00-00003A010000}"/>
              </a:ext>
            </a:extLst>
          </xdr:cNvPr>
          <xdr:cNvSpPr>
            <a:spLocks/>
          </xdr:cNvSpPr>
        </xdr:nvSpPr>
        <xdr:spPr bwMode="auto">
          <a:xfrm>
            <a:off x="2971800" y="27940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315" name="Line 1254">
            <a:extLst>
              <a:ext uri="{FF2B5EF4-FFF2-40B4-BE49-F238E27FC236}">
                <a16:creationId xmlns:a16="http://schemas.microsoft.com/office/drawing/2014/main" xmlns="" id="{00000000-0008-0000-0B00-00003B010000}"/>
              </a:ext>
            </a:extLst>
          </xdr:cNvPr>
          <xdr:cNvCxnSpPr/>
        </xdr:nvCxnSpPr>
        <xdr:spPr bwMode="auto">
          <a:xfrm>
            <a:off x="3200400" y="45720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316" name="Rectangle 315">
            <a:extLst>
              <a:ext uri="{FF2B5EF4-FFF2-40B4-BE49-F238E27FC236}">
                <a16:creationId xmlns:a16="http://schemas.microsoft.com/office/drawing/2014/main" xmlns="" id="{00000000-0008-0000-0B00-00003C010000}"/>
              </a:ext>
            </a:extLst>
          </xdr:cNvPr>
          <xdr:cNvSpPr>
            <a:spLocks noChangeArrowheads="1"/>
          </xdr:cNvSpPr>
        </xdr:nvSpPr>
        <xdr:spPr bwMode="auto">
          <a:xfrm>
            <a:off x="3086100" y="27940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xdr:from>
      <xdr:col>4</xdr:col>
      <xdr:colOff>114300</xdr:colOff>
      <xdr:row>127</xdr:row>
      <xdr:rowOff>114300</xdr:rowOff>
    </xdr:from>
    <xdr:to>
      <xdr:col>12</xdr:col>
      <xdr:colOff>497840</xdr:colOff>
      <xdr:row>144</xdr:row>
      <xdr:rowOff>53340</xdr:rowOff>
    </xdr:to>
    <xdr:grpSp>
      <xdr:nvGrpSpPr>
        <xdr:cNvPr id="317" name="Zone de dessin 1544">
          <a:extLst>
            <a:ext uri="{FF2B5EF4-FFF2-40B4-BE49-F238E27FC236}">
              <a16:creationId xmlns:a16="http://schemas.microsoft.com/office/drawing/2014/main" xmlns="" id="{00000000-0008-0000-0B00-00003D010000}"/>
            </a:ext>
          </a:extLst>
        </xdr:cNvPr>
        <xdr:cNvGrpSpPr/>
      </xdr:nvGrpSpPr>
      <xdr:grpSpPr>
        <a:xfrm>
          <a:off x="3162300" y="24593550"/>
          <a:ext cx="6479540" cy="3177540"/>
          <a:chOff x="0" y="0"/>
          <a:chExt cx="6479540" cy="3301365"/>
        </a:xfrm>
      </xdr:grpSpPr>
      <xdr:sp macro="" textlink="">
        <xdr:nvSpPr>
          <xdr:cNvPr id="318" name="Rectangle 317">
            <a:extLst>
              <a:ext uri="{FF2B5EF4-FFF2-40B4-BE49-F238E27FC236}">
                <a16:creationId xmlns:a16="http://schemas.microsoft.com/office/drawing/2014/main" xmlns="" id="{00000000-0008-0000-0B00-00003E010000}"/>
              </a:ext>
            </a:extLst>
          </xdr:cNvPr>
          <xdr:cNvSpPr/>
        </xdr:nvSpPr>
        <xdr:spPr>
          <a:xfrm>
            <a:off x="0" y="0"/>
            <a:ext cx="6479540" cy="3301365"/>
          </a:xfrm>
          <a:prstGeom prst="rect">
            <a:avLst/>
          </a:prstGeom>
          <a:noFill/>
          <a:ln>
            <a:noFill/>
          </a:ln>
        </xdr:spPr>
      </xdr:sp>
      <xdr:sp macro="" textlink="">
        <xdr:nvSpPr>
          <xdr:cNvPr id="319" name="AutoShape 1546">
            <a:extLst>
              <a:ext uri="{FF2B5EF4-FFF2-40B4-BE49-F238E27FC236}">
                <a16:creationId xmlns:a16="http://schemas.microsoft.com/office/drawing/2014/main" xmlns="" id="{00000000-0008-0000-0B00-00003F010000}"/>
              </a:ext>
            </a:extLst>
          </xdr:cNvPr>
          <xdr:cNvSpPr>
            <a:spLocks noChangeAspect="1" noChangeArrowheads="1"/>
          </xdr:cNvSpPr>
        </xdr:nvSpPr>
        <xdr:spPr bwMode="auto">
          <a:xfrm>
            <a:off x="0" y="351790"/>
            <a:ext cx="6479540" cy="294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0" name="Rectangle 319">
            <a:extLst>
              <a:ext uri="{FF2B5EF4-FFF2-40B4-BE49-F238E27FC236}">
                <a16:creationId xmlns:a16="http://schemas.microsoft.com/office/drawing/2014/main" xmlns="" id="{00000000-0008-0000-0B00-000040010000}"/>
              </a:ext>
            </a:extLst>
          </xdr:cNvPr>
          <xdr:cNvSpPr>
            <a:spLocks noChangeArrowheads="1"/>
          </xdr:cNvSpPr>
        </xdr:nvSpPr>
        <xdr:spPr bwMode="auto">
          <a:xfrm>
            <a:off x="2595245" y="342900"/>
            <a:ext cx="1233805" cy="2306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21" name="Rectangle 320">
            <a:extLst>
              <a:ext uri="{FF2B5EF4-FFF2-40B4-BE49-F238E27FC236}">
                <a16:creationId xmlns:a16="http://schemas.microsoft.com/office/drawing/2014/main" xmlns="" id="{00000000-0008-0000-0B00-000041010000}"/>
              </a:ext>
            </a:extLst>
          </xdr:cNvPr>
          <xdr:cNvSpPr>
            <a:spLocks noChangeArrowheads="1"/>
          </xdr:cNvSpPr>
        </xdr:nvSpPr>
        <xdr:spPr bwMode="auto">
          <a:xfrm>
            <a:off x="2595245" y="342900"/>
            <a:ext cx="1233805" cy="230695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22" name="Rectangle 321">
            <a:extLst>
              <a:ext uri="{FF2B5EF4-FFF2-40B4-BE49-F238E27FC236}">
                <a16:creationId xmlns:a16="http://schemas.microsoft.com/office/drawing/2014/main" xmlns="" id="{00000000-0008-0000-0B00-000042010000}"/>
              </a:ext>
            </a:extLst>
          </xdr:cNvPr>
          <xdr:cNvSpPr>
            <a:spLocks noChangeArrowheads="1"/>
          </xdr:cNvSpPr>
        </xdr:nvSpPr>
        <xdr:spPr bwMode="auto">
          <a:xfrm>
            <a:off x="2819400" y="75184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21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23" name="Line 1550">
            <a:extLst>
              <a:ext uri="{FF2B5EF4-FFF2-40B4-BE49-F238E27FC236}">
                <a16:creationId xmlns:a16="http://schemas.microsoft.com/office/drawing/2014/main" xmlns="" id="{00000000-0008-0000-0B00-000043010000}"/>
              </a:ext>
            </a:extLst>
          </xdr:cNvPr>
          <xdr:cNvCxnSpPr/>
        </xdr:nvCxnSpPr>
        <xdr:spPr bwMode="auto">
          <a:xfrm>
            <a:off x="3829050" y="495935"/>
            <a:ext cx="155702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4" name="Line 1551">
            <a:extLst>
              <a:ext uri="{FF2B5EF4-FFF2-40B4-BE49-F238E27FC236}">
                <a16:creationId xmlns:a16="http://schemas.microsoft.com/office/drawing/2014/main" xmlns="" id="{00000000-0008-0000-0B00-000044010000}"/>
              </a:ext>
            </a:extLst>
          </xdr:cNvPr>
          <xdr:cNvCxnSpPr/>
        </xdr:nvCxnSpPr>
        <xdr:spPr bwMode="auto">
          <a:xfrm flipH="1">
            <a:off x="3909060" y="126619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5" name="Freeform 1552">
            <a:extLst>
              <a:ext uri="{FF2B5EF4-FFF2-40B4-BE49-F238E27FC236}">
                <a16:creationId xmlns:a16="http://schemas.microsoft.com/office/drawing/2014/main" xmlns="" id="{00000000-0008-0000-0B00-000045010000}"/>
              </a:ext>
            </a:extLst>
          </xdr:cNvPr>
          <xdr:cNvSpPr>
            <a:spLocks/>
          </xdr:cNvSpPr>
        </xdr:nvSpPr>
        <xdr:spPr bwMode="auto">
          <a:xfrm>
            <a:off x="3829050" y="1220470"/>
            <a:ext cx="90805" cy="90805"/>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6" name="Line 1553">
            <a:extLst>
              <a:ext uri="{FF2B5EF4-FFF2-40B4-BE49-F238E27FC236}">
                <a16:creationId xmlns:a16="http://schemas.microsoft.com/office/drawing/2014/main" xmlns="" id="{00000000-0008-0000-0B00-000046010000}"/>
              </a:ext>
            </a:extLst>
          </xdr:cNvPr>
          <xdr:cNvCxnSpPr/>
        </xdr:nvCxnSpPr>
        <xdr:spPr bwMode="auto">
          <a:xfrm flipH="1">
            <a:off x="3909060" y="2496820"/>
            <a:ext cx="147701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27" name="Freeform 1554">
            <a:extLst>
              <a:ext uri="{FF2B5EF4-FFF2-40B4-BE49-F238E27FC236}">
                <a16:creationId xmlns:a16="http://schemas.microsoft.com/office/drawing/2014/main" xmlns="" id="{00000000-0008-0000-0B00-000047010000}"/>
              </a:ext>
            </a:extLst>
          </xdr:cNvPr>
          <xdr:cNvSpPr>
            <a:spLocks/>
          </xdr:cNvSpPr>
        </xdr:nvSpPr>
        <xdr:spPr bwMode="auto">
          <a:xfrm>
            <a:off x="3829050" y="2450465"/>
            <a:ext cx="90805" cy="91440"/>
          </a:xfrm>
          <a:custGeom>
            <a:avLst/>
            <a:gdLst>
              <a:gd name="T0" fmla="*/ 71 w 71"/>
              <a:gd name="T1" fmla="*/ 71 h 71"/>
              <a:gd name="T2" fmla="*/ 0 w 71"/>
              <a:gd name="T3" fmla="*/ 36 h 71"/>
              <a:gd name="T4" fmla="*/ 71 w 71"/>
              <a:gd name="T5" fmla="*/ 0 h 71"/>
              <a:gd name="T6" fmla="*/ 71 w 71"/>
              <a:gd name="T7" fmla="*/ 71 h 71"/>
            </a:gdLst>
            <a:ahLst/>
            <a:cxnLst>
              <a:cxn ang="0">
                <a:pos x="T0" y="T1"/>
              </a:cxn>
              <a:cxn ang="0">
                <a:pos x="T2" y="T3"/>
              </a:cxn>
              <a:cxn ang="0">
                <a:pos x="T4" y="T5"/>
              </a:cxn>
              <a:cxn ang="0">
                <a:pos x="T6" y="T7"/>
              </a:cxn>
            </a:cxnLst>
            <a:rect l="0" t="0" r="r" b="b"/>
            <a:pathLst>
              <a:path w="71" h="71">
                <a:moveTo>
                  <a:pt x="71" y="71"/>
                </a:moveTo>
                <a:lnTo>
                  <a:pt x="0" y="36"/>
                </a:lnTo>
                <a:lnTo>
                  <a:pt x="71" y="0"/>
                </a:lnTo>
                <a:lnTo>
                  <a:pt x="71"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cxnSp macro="">
        <xdr:nvCxnSpPr>
          <xdr:cNvPr id="328" name="Line 1555">
            <a:extLst>
              <a:ext uri="{FF2B5EF4-FFF2-40B4-BE49-F238E27FC236}">
                <a16:creationId xmlns:a16="http://schemas.microsoft.com/office/drawing/2014/main" xmlns="" id="{00000000-0008-0000-0B00-000048010000}"/>
              </a:ext>
            </a:extLst>
          </xdr:cNvPr>
          <xdr:cNvCxnSpPr/>
        </xdr:nvCxnSpPr>
        <xdr:spPr bwMode="auto">
          <a:xfrm>
            <a:off x="3829050" y="1727835"/>
            <a:ext cx="1557020" cy="635"/>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9" name="Line 1556">
            <a:extLst>
              <a:ext uri="{FF2B5EF4-FFF2-40B4-BE49-F238E27FC236}">
                <a16:creationId xmlns:a16="http://schemas.microsoft.com/office/drawing/2014/main" xmlns="" id="{00000000-0008-0000-0B00-000049010000}"/>
              </a:ext>
            </a:extLst>
          </xdr:cNvPr>
          <xdr:cNvCxnSpPr/>
        </xdr:nvCxnSpPr>
        <xdr:spPr bwMode="auto">
          <a:xfrm flipH="1">
            <a:off x="1094105" y="1111885"/>
            <a:ext cx="1501140"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30" name="Oval 1557">
            <a:extLst>
              <a:ext uri="{FF2B5EF4-FFF2-40B4-BE49-F238E27FC236}">
                <a16:creationId xmlns:a16="http://schemas.microsoft.com/office/drawing/2014/main" xmlns="" id="{00000000-0008-0000-0B00-00004A010000}"/>
              </a:ext>
            </a:extLst>
          </xdr:cNvPr>
          <xdr:cNvSpPr>
            <a:spLocks noChangeArrowheads="1"/>
          </xdr:cNvSpPr>
        </xdr:nvSpPr>
        <xdr:spPr bwMode="auto">
          <a:xfrm>
            <a:off x="4895215" y="35560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31" name="Oval 1558">
            <a:extLst>
              <a:ext uri="{FF2B5EF4-FFF2-40B4-BE49-F238E27FC236}">
                <a16:creationId xmlns:a16="http://schemas.microsoft.com/office/drawing/2014/main" xmlns="" id="{00000000-0008-0000-0B00-00004B010000}"/>
              </a:ext>
            </a:extLst>
          </xdr:cNvPr>
          <xdr:cNvSpPr>
            <a:spLocks noChangeArrowheads="1"/>
          </xdr:cNvSpPr>
        </xdr:nvSpPr>
        <xdr:spPr bwMode="auto">
          <a:xfrm>
            <a:off x="4895215" y="35560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2" name="Rectangle 331">
            <a:extLst>
              <a:ext uri="{FF2B5EF4-FFF2-40B4-BE49-F238E27FC236}">
                <a16:creationId xmlns:a16="http://schemas.microsoft.com/office/drawing/2014/main" xmlns="" id="{00000000-0008-0000-0B00-00004C010000}"/>
              </a:ext>
            </a:extLst>
          </xdr:cNvPr>
          <xdr:cNvSpPr>
            <a:spLocks noChangeArrowheads="1"/>
          </xdr:cNvSpPr>
        </xdr:nvSpPr>
        <xdr:spPr bwMode="auto">
          <a:xfrm>
            <a:off x="4984750" y="39751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3" name="Rectangle 332">
            <a:extLst>
              <a:ext uri="{FF2B5EF4-FFF2-40B4-BE49-F238E27FC236}">
                <a16:creationId xmlns:a16="http://schemas.microsoft.com/office/drawing/2014/main" xmlns="" id="{00000000-0008-0000-0B00-00004D010000}"/>
              </a:ext>
            </a:extLst>
          </xdr:cNvPr>
          <xdr:cNvSpPr>
            <a:spLocks noChangeArrowheads="1"/>
          </xdr:cNvSpPr>
        </xdr:nvSpPr>
        <xdr:spPr bwMode="auto">
          <a:xfrm>
            <a:off x="15240" y="957580"/>
            <a:ext cx="1078865" cy="107759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4" name="Rectangle 333">
            <a:extLst>
              <a:ext uri="{FF2B5EF4-FFF2-40B4-BE49-F238E27FC236}">
                <a16:creationId xmlns:a16="http://schemas.microsoft.com/office/drawing/2014/main" xmlns="" id="{00000000-0008-0000-0B00-00004E010000}"/>
              </a:ext>
            </a:extLst>
          </xdr:cNvPr>
          <xdr:cNvSpPr>
            <a:spLocks noChangeArrowheads="1"/>
          </xdr:cNvSpPr>
        </xdr:nvSpPr>
        <xdr:spPr bwMode="auto">
          <a:xfrm>
            <a:off x="15240" y="957580"/>
            <a:ext cx="1078865" cy="107759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5" name="Rectangle 334">
            <a:extLst>
              <a:ext uri="{FF2B5EF4-FFF2-40B4-BE49-F238E27FC236}">
                <a16:creationId xmlns:a16="http://schemas.microsoft.com/office/drawing/2014/main" xmlns="" id="{00000000-0008-0000-0B00-00004F010000}"/>
              </a:ext>
            </a:extLst>
          </xdr:cNvPr>
          <xdr:cNvSpPr>
            <a:spLocks noChangeArrowheads="1"/>
          </xdr:cNvSpPr>
        </xdr:nvSpPr>
        <xdr:spPr bwMode="auto">
          <a:xfrm>
            <a:off x="187960" y="1338580"/>
            <a:ext cx="697230" cy="367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SOURCE </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FROIDE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6" name="Rectangle 335">
            <a:extLst>
              <a:ext uri="{FF2B5EF4-FFF2-40B4-BE49-F238E27FC236}">
                <a16:creationId xmlns:a16="http://schemas.microsoft.com/office/drawing/2014/main" xmlns="" id="{00000000-0008-0000-0B00-000050010000}"/>
              </a:ext>
            </a:extLst>
          </xdr:cNvPr>
          <xdr:cNvSpPr>
            <a:spLocks noChangeArrowheads="1"/>
          </xdr:cNvSpPr>
        </xdr:nvSpPr>
        <xdr:spPr bwMode="auto">
          <a:xfrm>
            <a:off x="5386070" y="34290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37" name="Rectangle 336">
            <a:extLst>
              <a:ext uri="{FF2B5EF4-FFF2-40B4-BE49-F238E27FC236}">
                <a16:creationId xmlns:a16="http://schemas.microsoft.com/office/drawing/2014/main" xmlns="" id="{00000000-0008-0000-0B00-000051010000}"/>
              </a:ext>
            </a:extLst>
          </xdr:cNvPr>
          <xdr:cNvSpPr>
            <a:spLocks noChangeArrowheads="1"/>
          </xdr:cNvSpPr>
        </xdr:nvSpPr>
        <xdr:spPr bwMode="auto">
          <a:xfrm>
            <a:off x="5386070" y="34290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38" name="Rectangle 337">
            <a:extLst>
              <a:ext uri="{FF2B5EF4-FFF2-40B4-BE49-F238E27FC236}">
                <a16:creationId xmlns:a16="http://schemas.microsoft.com/office/drawing/2014/main" xmlns="" id="{00000000-0008-0000-0B00-000052010000}"/>
              </a:ext>
            </a:extLst>
          </xdr:cNvPr>
          <xdr:cNvSpPr>
            <a:spLocks noChangeArrowheads="1"/>
          </xdr:cNvSpPr>
        </xdr:nvSpPr>
        <xdr:spPr bwMode="auto">
          <a:xfrm>
            <a:off x="5768340" y="782955"/>
            <a:ext cx="31432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ECS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39" name="Rectangle 338">
            <a:extLst>
              <a:ext uri="{FF2B5EF4-FFF2-40B4-BE49-F238E27FC236}">
                <a16:creationId xmlns:a16="http://schemas.microsoft.com/office/drawing/2014/main" xmlns="" id="{00000000-0008-0000-0B00-000053010000}"/>
              </a:ext>
            </a:extLst>
          </xdr:cNvPr>
          <xdr:cNvSpPr>
            <a:spLocks noChangeArrowheads="1"/>
          </xdr:cNvSpPr>
        </xdr:nvSpPr>
        <xdr:spPr bwMode="auto">
          <a:xfrm>
            <a:off x="5386070" y="1573530"/>
            <a:ext cx="1078230" cy="1076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0" name="Rectangle 339">
            <a:extLst>
              <a:ext uri="{FF2B5EF4-FFF2-40B4-BE49-F238E27FC236}">
                <a16:creationId xmlns:a16="http://schemas.microsoft.com/office/drawing/2014/main" xmlns="" id="{00000000-0008-0000-0B00-000054010000}"/>
              </a:ext>
            </a:extLst>
          </xdr:cNvPr>
          <xdr:cNvSpPr>
            <a:spLocks noChangeArrowheads="1"/>
          </xdr:cNvSpPr>
        </xdr:nvSpPr>
        <xdr:spPr bwMode="auto">
          <a:xfrm>
            <a:off x="5386070" y="1573530"/>
            <a:ext cx="1078230" cy="1076325"/>
          </a:xfrm>
          <a:prstGeom prst="rect">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1" name="Rectangle 340">
            <a:extLst>
              <a:ext uri="{FF2B5EF4-FFF2-40B4-BE49-F238E27FC236}">
                <a16:creationId xmlns:a16="http://schemas.microsoft.com/office/drawing/2014/main" xmlns="" id="{00000000-0008-0000-0B00-000055010000}"/>
              </a:ext>
            </a:extLst>
          </xdr:cNvPr>
          <xdr:cNvSpPr>
            <a:spLocks noChangeArrowheads="1"/>
          </xdr:cNvSpPr>
        </xdr:nvSpPr>
        <xdr:spPr bwMode="auto">
          <a:xfrm>
            <a:off x="5438775" y="2011680"/>
            <a:ext cx="943610"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b="1">
                <a:solidFill>
                  <a:srgbClr val="000000"/>
                </a:solidFill>
                <a:effectLst/>
                <a:latin typeface="Arial" panose="020B0604020202020204" pitchFamily="34" charset="0"/>
                <a:ea typeface="Times New Roman" panose="02020603050405020304" pitchFamily="18" charset="0"/>
                <a:cs typeface="Arial" panose="020B0604020202020204" pitchFamily="34" charset="0"/>
              </a:rPr>
              <a:t>EMETTEURS</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42" name="Line 1569">
            <a:extLst>
              <a:ext uri="{FF2B5EF4-FFF2-40B4-BE49-F238E27FC236}">
                <a16:creationId xmlns:a16="http://schemas.microsoft.com/office/drawing/2014/main" xmlns="" id="{00000000-0008-0000-0B00-000056010000}"/>
              </a:ext>
            </a:extLst>
          </xdr:cNvPr>
          <xdr:cNvCxnSpPr/>
        </xdr:nvCxnSpPr>
        <xdr:spPr bwMode="auto">
          <a:xfrm>
            <a:off x="1094105" y="1880870"/>
            <a:ext cx="1420495" cy="1270"/>
          </a:xfrm>
          <a:prstGeom prst="line">
            <a:avLst/>
          </a:prstGeom>
          <a:noFill/>
          <a:ln w="3175" cap="rnd">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343" name="Freeform 1570">
            <a:extLst>
              <a:ext uri="{FF2B5EF4-FFF2-40B4-BE49-F238E27FC236}">
                <a16:creationId xmlns:a16="http://schemas.microsoft.com/office/drawing/2014/main" xmlns="" id="{00000000-0008-0000-0B00-000057010000}"/>
              </a:ext>
            </a:extLst>
          </xdr:cNvPr>
          <xdr:cNvSpPr>
            <a:spLocks/>
          </xdr:cNvSpPr>
        </xdr:nvSpPr>
        <xdr:spPr bwMode="auto">
          <a:xfrm>
            <a:off x="2503805" y="1836420"/>
            <a:ext cx="91440" cy="90170"/>
          </a:xfrm>
          <a:custGeom>
            <a:avLst/>
            <a:gdLst>
              <a:gd name="T0" fmla="*/ 0 w 72"/>
              <a:gd name="T1" fmla="*/ 0 h 71"/>
              <a:gd name="T2" fmla="*/ 72 w 72"/>
              <a:gd name="T3" fmla="*/ 35 h 71"/>
              <a:gd name="T4" fmla="*/ 0 w 72"/>
              <a:gd name="T5" fmla="*/ 71 h 71"/>
              <a:gd name="T6" fmla="*/ 0 w 72"/>
              <a:gd name="T7" fmla="*/ 0 h 71"/>
            </a:gdLst>
            <a:ahLst/>
            <a:cxnLst>
              <a:cxn ang="0">
                <a:pos x="T0" y="T1"/>
              </a:cxn>
              <a:cxn ang="0">
                <a:pos x="T2" y="T3"/>
              </a:cxn>
              <a:cxn ang="0">
                <a:pos x="T4" y="T5"/>
              </a:cxn>
              <a:cxn ang="0">
                <a:pos x="T6" y="T7"/>
              </a:cxn>
            </a:cxnLst>
            <a:rect l="0" t="0" r="r" b="b"/>
            <a:pathLst>
              <a:path w="72" h="71">
                <a:moveTo>
                  <a:pt x="0" y="0"/>
                </a:moveTo>
                <a:lnTo>
                  <a:pt x="72" y="35"/>
                </a:lnTo>
                <a:lnTo>
                  <a:pt x="0" y="71"/>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fr-FR"/>
          </a:p>
        </xdr:txBody>
      </xdr:sp>
      <xdr:sp macro="" textlink="">
        <xdr:nvSpPr>
          <xdr:cNvPr id="344" name="Oval 1571">
            <a:extLst>
              <a:ext uri="{FF2B5EF4-FFF2-40B4-BE49-F238E27FC236}">
                <a16:creationId xmlns:a16="http://schemas.microsoft.com/office/drawing/2014/main" xmlns="" id="{00000000-0008-0000-0B00-000058010000}"/>
              </a:ext>
            </a:extLst>
          </xdr:cNvPr>
          <xdr:cNvSpPr>
            <a:spLocks noChangeArrowheads="1"/>
          </xdr:cNvSpPr>
        </xdr:nvSpPr>
        <xdr:spPr bwMode="auto">
          <a:xfrm>
            <a:off x="2009775" y="972820"/>
            <a:ext cx="277495" cy="27813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5" name="Oval 1572">
            <a:extLst>
              <a:ext uri="{FF2B5EF4-FFF2-40B4-BE49-F238E27FC236}">
                <a16:creationId xmlns:a16="http://schemas.microsoft.com/office/drawing/2014/main" xmlns="" id="{00000000-0008-0000-0B00-000059010000}"/>
              </a:ext>
            </a:extLst>
          </xdr:cNvPr>
          <xdr:cNvSpPr>
            <a:spLocks noChangeArrowheads="1"/>
          </xdr:cNvSpPr>
        </xdr:nvSpPr>
        <xdr:spPr bwMode="auto">
          <a:xfrm>
            <a:off x="2009775" y="972820"/>
            <a:ext cx="277495" cy="27813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6" name="Rectangle 345">
            <a:extLst>
              <a:ext uri="{FF2B5EF4-FFF2-40B4-BE49-F238E27FC236}">
                <a16:creationId xmlns:a16="http://schemas.microsoft.com/office/drawing/2014/main" xmlns="" id="{00000000-0008-0000-0B00-00005A010000}"/>
              </a:ext>
            </a:extLst>
          </xdr:cNvPr>
          <xdr:cNvSpPr>
            <a:spLocks noChangeArrowheads="1"/>
          </xdr:cNvSpPr>
        </xdr:nvSpPr>
        <xdr:spPr bwMode="auto">
          <a:xfrm>
            <a:off x="2096770" y="1019175"/>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47" name="Oval 1574">
            <a:extLst>
              <a:ext uri="{FF2B5EF4-FFF2-40B4-BE49-F238E27FC236}">
                <a16:creationId xmlns:a16="http://schemas.microsoft.com/office/drawing/2014/main" xmlns="" id="{00000000-0008-0000-0B00-00005B010000}"/>
              </a:ext>
            </a:extLst>
          </xdr:cNvPr>
          <xdr:cNvSpPr>
            <a:spLocks noChangeArrowheads="1"/>
          </xdr:cNvSpPr>
        </xdr:nvSpPr>
        <xdr:spPr bwMode="auto">
          <a:xfrm>
            <a:off x="4895215" y="1586230"/>
            <a:ext cx="276860" cy="27686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48" name="Oval 1575">
            <a:extLst>
              <a:ext uri="{FF2B5EF4-FFF2-40B4-BE49-F238E27FC236}">
                <a16:creationId xmlns:a16="http://schemas.microsoft.com/office/drawing/2014/main" xmlns="" id="{00000000-0008-0000-0B00-00005C010000}"/>
              </a:ext>
            </a:extLst>
          </xdr:cNvPr>
          <xdr:cNvSpPr>
            <a:spLocks noChangeArrowheads="1"/>
          </xdr:cNvSpPr>
        </xdr:nvSpPr>
        <xdr:spPr bwMode="auto">
          <a:xfrm>
            <a:off x="4907915" y="1586230"/>
            <a:ext cx="276860" cy="276860"/>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49" name="Rectangle 348">
            <a:extLst>
              <a:ext uri="{FF2B5EF4-FFF2-40B4-BE49-F238E27FC236}">
                <a16:creationId xmlns:a16="http://schemas.microsoft.com/office/drawing/2014/main" xmlns="" id="{00000000-0008-0000-0B00-00005D010000}"/>
              </a:ext>
            </a:extLst>
          </xdr:cNvPr>
          <xdr:cNvSpPr>
            <a:spLocks noChangeArrowheads="1"/>
          </xdr:cNvSpPr>
        </xdr:nvSpPr>
        <xdr:spPr bwMode="auto">
          <a:xfrm>
            <a:off x="4984750" y="1626870"/>
            <a:ext cx="102235" cy="183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100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0" name="Freeform 1577">
            <a:extLst>
              <a:ext uri="{FF2B5EF4-FFF2-40B4-BE49-F238E27FC236}">
                <a16:creationId xmlns:a16="http://schemas.microsoft.com/office/drawing/2014/main" xmlns="" id="{00000000-0008-0000-0B00-00005E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1" name="Freeform 1578">
            <a:extLst>
              <a:ext uri="{FF2B5EF4-FFF2-40B4-BE49-F238E27FC236}">
                <a16:creationId xmlns:a16="http://schemas.microsoft.com/office/drawing/2014/main" xmlns="" id="{00000000-0008-0000-0B00-00005F010000}"/>
              </a:ext>
            </a:extLst>
          </xdr:cNvPr>
          <xdr:cNvSpPr>
            <a:spLocks/>
          </xdr:cNvSpPr>
        </xdr:nvSpPr>
        <xdr:spPr bwMode="auto">
          <a:xfrm>
            <a:off x="1178560" y="1407795"/>
            <a:ext cx="447675" cy="178435"/>
          </a:xfrm>
          <a:custGeom>
            <a:avLst/>
            <a:gdLst>
              <a:gd name="T0" fmla="*/ 176 w 877"/>
              <a:gd name="T1" fmla="*/ 351 h 351"/>
              <a:gd name="T2" fmla="*/ 702 w 877"/>
              <a:gd name="T3" fmla="*/ 351 h 351"/>
              <a:gd name="T4" fmla="*/ 877 w 877"/>
              <a:gd name="T5" fmla="*/ 175 h 351"/>
              <a:gd name="T6" fmla="*/ 702 w 877"/>
              <a:gd name="T7" fmla="*/ 0 h 351"/>
              <a:gd name="T8" fmla="*/ 702 w 877"/>
              <a:gd name="T9" fmla="*/ 0 h 351"/>
              <a:gd name="T10" fmla="*/ 702 w 877"/>
              <a:gd name="T11" fmla="*/ 0 h 351"/>
              <a:gd name="T12" fmla="*/ 176 w 877"/>
              <a:gd name="T13" fmla="*/ 0 h 351"/>
              <a:gd name="T14" fmla="*/ 0 w 877"/>
              <a:gd name="T15" fmla="*/ 175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2"/>
                  <a:pt x="877" y="175"/>
                </a:cubicBezTo>
                <a:cubicBezTo>
                  <a:pt x="877" y="78"/>
                  <a:pt x="799" y="0"/>
                  <a:pt x="702" y="0"/>
                </a:cubicBezTo>
                <a:cubicBezTo>
                  <a:pt x="702" y="0"/>
                  <a:pt x="702" y="0"/>
                  <a:pt x="702" y="0"/>
                </a:cubicBezTo>
                <a:lnTo>
                  <a:pt x="702" y="0"/>
                </a:lnTo>
                <a:lnTo>
                  <a:pt x="176" y="0"/>
                </a:lnTo>
                <a:cubicBezTo>
                  <a:pt x="79" y="0"/>
                  <a:pt x="0" y="78"/>
                  <a:pt x="0" y="175"/>
                </a:cubicBezTo>
                <a:cubicBezTo>
                  <a:pt x="0" y="272"/>
                  <a:pt x="79" y="351"/>
                  <a:pt x="176"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2" name="Rectangle 351">
            <a:extLst>
              <a:ext uri="{FF2B5EF4-FFF2-40B4-BE49-F238E27FC236}">
                <a16:creationId xmlns:a16="http://schemas.microsoft.com/office/drawing/2014/main" xmlns="" id="{00000000-0008-0000-0B00-000060010000}"/>
              </a:ext>
            </a:extLst>
          </xdr:cNvPr>
          <xdr:cNvSpPr>
            <a:spLocks noChangeArrowheads="1"/>
          </xdr:cNvSpPr>
        </xdr:nvSpPr>
        <xdr:spPr bwMode="auto">
          <a:xfrm>
            <a:off x="1280795" y="1443990"/>
            <a:ext cx="3194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3" name="Freeform 1580">
            <a:extLst>
              <a:ext uri="{FF2B5EF4-FFF2-40B4-BE49-F238E27FC236}">
                <a16:creationId xmlns:a16="http://schemas.microsoft.com/office/drawing/2014/main" xmlns="" id="{00000000-0008-0000-0B00-000061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4" name="Freeform 1581">
            <a:extLst>
              <a:ext uri="{FF2B5EF4-FFF2-40B4-BE49-F238E27FC236}">
                <a16:creationId xmlns:a16="http://schemas.microsoft.com/office/drawing/2014/main" xmlns="" id="{00000000-0008-0000-0B00-000062010000}"/>
              </a:ext>
            </a:extLst>
          </xdr:cNvPr>
          <xdr:cNvSpPr>
            <a:spLocks/>
          </xdr:cNvSpPr>
        </xdr:nvSpPr>
        <xdr:spPr bwMode="auto">
          <a:xfrm>
            <a:off x="4077335" y="202184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5" name="Rectangle 354">
            <a:extLst>
              <a:ext uri="{FF2B5EF4-FFF2-40B4-BE49-F238E27FC236}">
                <a16:creationId xmlns:a16="http://schemas.microsoft.com/office/drawing/2014/main" xmlns="" id="{00000000-0008-0000-0B00-000063010000}"/>
              </a:ext>
            </a:extLst>
          </xdr:cNvPr>
          <xdr:cNvSpPr>
            <a:spLocks noChangeArrowheads="1"/>
          </xdr:cNvSpPr>
        </xdr:nvSpPr>
        <xdr:spPr bwMode="auto">
          <a:xfrm>
            <a:off x="4182745" y="2022475"/>
            <a:ext cx="358775" cy="15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1</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6" name="Freeform 1583">
            <a:extLst>
              <a:ext uri="{FF2B5EF4-FFF2-40B4-BE49-F238E27FC236}">
                <a16:creationId xmlns:a16="http://schemas.microsoft.com/office/drawing/2014/main" xmlns="" id="{00000000-0008-0000-0B00-000064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57" name="Freeform 1584">
            <a:extLst>
              <a:ext uri="{FF2B5EF4-FFF2-40B4-BE49-F238E27FC236}">
                <a16:creationId xmlns:a16="http://schemas.microsoft.com/office/drawing/2014/main" xmlns="" id="{00000000-0008-0000-0B00-000065010000}"/>
              </a:ext>
            </a:extLst>
          </xdr:cNvPr>
          <xdr:cNvSpPr>
            <a:spLocks/>
          </xdr:cNvSpPr>
        </xdr:nvSpPr>
        <xdr:spPr bwMode="auto">
          <a:xfrm>
            <a:off x="4077335" y="792480"/>
            <a:ext cx="44640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58" name="Rectangle 357">
            <a:extLst>
              <a:ext uri="{FF2B5EF4-FFF2-40B4-BE49-F238E27FC236}">
                <a16:creationId xmlns:a16="http://schemas.microsoft.com/office/drawing/2014/main" xmlns="" id="{00000000-0008-0000-0B00-000066010000}"/>
              </a:ext>
            </a:extLst>
          </xdr:cNvPr>
          <xdr:cNvSpPr>
            <a:spLocks noChangeArrowheads="1"/>
          </xdr:cNvSpPr>
        </xdr:nvSpPr>
        <xdr:spPr bwMode="auto">
          <a:xfrm>
            <a:off x="4182745" y="808990"/>
            <a:ext cx="374015" cy="128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59" name="Oval 1586">
            <a:extLst>
              <a:ext uri="{FF2B5EF4-FFF2-40B4-BE49-F238E27FC236}">
                <a16:creationId xmlns:a16="http://schemas.microsoft.com/office/drawing/2014/main" xmlns="" id="{00000000-0008-0000-0B00-000067010000}"/>
              </a:ext>
            </a:extLst>
          </xdr:cNvPr>
          <xdr:cNvSpPr>
            <a:spLocks noChangeArrowheads="1"/>
          </xdr:cNvSpPr>
        </xdr:nvSpPr>
        <xdr:spPr bwMode="auto">
          <a:xfrm>
            <a:off x="3992880" y="57340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60" name="Oval 1587">
            <a:extLst>
              <a:ext uri="{FF2B5EF4-FFF2-40B4-BE49-F238E27FC236}">
                <a16:creationId xmlns:a16="http://schemas.microsoft.com/office/drawing/2014/main" xmlns="" id="{00000000-0008-0000-0B00-000068010000}"/>
              </a:ext>
            </a:extLst>
          </xdr:cNvPr>
          <xdr:cNvSpPr>
            <a:spLocks noChangeArrowheads="1"/>
          </xdr:cNvSpPr>
        </xdr:nvSpPr>
        <xdr:spPr bwMode="auto">
          <a:xfrm>
            <a:off x="3992880" y="57340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61" name="Rectangle 360">
            <a:extLst>
              <a:ext uri="{FF2B5EF4-FFF2-40B4-BE49-F238E27FC236}">
                <a16:creationId xmlns:a16="http://schemas.microsoft.com/office/drawing/2014/main" xmlns="" id="{00000000-0008-0000-0B00-000069010000}"/>
              </a:ext>
            </a:extLst>
          </xdr:cNvPr>
          <xdr:cNvSpPr>
            <a:spLocks noChangeArrowheads="1"/>
          </xdr:cNvSpPr>
        </xdr:nvSpPr>
        <xdr:spPr bwMode="auto">
          <a:xfrm>
            <a:off x="4036060" y="58801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62" name="Line 1589">
            <a:extLst>
              <a:ext uri="{FF2B5EF4-FFF2-40B4-BE49-F238E27FC236}">
                <a16:creationId xmlns:a16="http://schemas.microsoft.com/office/drawing/2014/main" xmlns="" id="{00000000-0008-0000-0B00-00006A010000}"/>
              </a:ext>
            </a:extLst>
          </xdr:cNvPr>
          <xdr:cNvCxnSpPr/>
        </xdr:nvCxnSpPr>
        <xdr:spPr bwMode="auto">
          <a:xfrm flipV="1">
            <a:off x="4300855" y="495936"/>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3" name="Line 1590">
            <a:extLst>
              <a:ext uri="{FF2B5EF4-FFF2-40B4-BE49-F238E27FC236}">
                <a16:creationId xmlns:a16="http://schemas.microsoft.com/office/drawing/2014/main" xmlns="" id="{00000000-0008-0000-0B00-00006B010000}"/>
              </a:ext>
            </a:extLst>
          </xdr:cNvPr>
          <xdr:cNvCxnSpPr/>
        </xdr:nvCxnSpPr>
        <xdr:spPr bwMode="auto">
          <a:xfrm>
            <a:off x="4300855" y="970915"/>
            <a:ext cx="1270" cy="29527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4" name="Line 1591">
            <a:extLst>
              <a:ext uri="{FF2B5EF4-FFF2-40B4-BE49-F238E27FC236}">
                <a16:creationId xmlns:a16="http://schemas.microsoft.com/office/drawing/2014/main" xmlns="" id="{00000000-0008-0000-0B00-00006C010000}"/>
              </a:ext>
            </a:extLst>
          </xdr:cNvPr>
          <xdr:cNvCxnSpPr/>
        </xdr:nvCxnSpPr>
        <xdr:spPr bwMode="auto">
          <a:xfrm>
            <a:off x="4300855" y="1727835"/>
            <a:ext cx="1270" cy="2940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5" name="Line 1592">
            <a:extLst>
              <a:ext uri="{FF2B5EF4-FFF2-40B4-BE49-F238E27FC236}">
                <a16:creationId xmlns:a16="http://schemas.microsoft.com/office/drawing/2014/main" xmlns="" id="{00000000-0008-0000-0B00-00006D010000}"/>
              </a:ext>
            </a:extLst>
          </xdr:cNvPr>
          <xdr:cNvCxnSpPr/>
        </xdr:nvCxnSpPr>
        <xdr:spPr bwMode="auto">
          <a:xfrm>
            <a:off x="4300855" y="2200275"/>
            <a:ext cx="1270" cy="29654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6" name="Line 1593">
            <a:extLst>
              <a:ext uri="{FF2B5EF4-FFF2-40B4-BE49-F238E27FC236}">
                <a16:creationId xmlns:a16="http://schemas.microsoft.com/office/drawing/2014/main" xmlns="" id="{00000000-0008-0000-0B00-00006E010000}"/>
              </a:ext>
            </a:extLst>
          </xdr:cNvPr>
          <xdr:cNvCxnSpPr/>
        </xdr:nvCxnSpPr>
        <xdr:spPr bwMode="auto">
          <a:xfrm flipV="1">
            <a:off x="1402715" y="1586230"/>
            <a:ext cx="1270" cy="29464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7" name="Line 1594">
            <a:extLst>
              <a:ext uri="{FF2B5EF4-FFF2-40B4-BE49-F238E27FC236}">
                <a16:creationId xmlns:a16="http://schemas.microsoft.com/office/drawing/2014/main" xmlns="" id="{00000000-0008-0000-0B00-00006F010000}"/>
              </a:ext>
            </a:extLst>
          </xdr:cNvPr>
          <xdr:cNvCxnSpPr/>
        </xdr:nvCxnSpPr>
        <xdr:spPr bwMode="auto">
          <a:xfrm flipV="1">
            <a:off x="1402715" y="1111885"/>
            <a:ext cx="1270" cy="29591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8" name="Line 1595">
            <a:extLst>
              <a:ext uri="{FF2B5EF4-FFF2-40B4-BE49-F238E27FC236}">
                <a16:creationId xmlns:a16="http://schemas.microsoft.com/office/drawing/2014/main" xmlns="" id="{00000000-0008-0000-0B00-000070010000}"/>
              </a:ext>
            </a:extLst>
          </xdr:cNvPr>
          <xdr:cNvCxnSpPr/>
        </xdr:nvCxnSpPr>
        <xdr:spPr bwMode="auto">
          <a:xfrm flipH="1">
            <a:off x="4154171" y="2343150"/>
            <a:ext cx="146685"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69" name="Line 1596">
            <a:extLst>
              <a:ext uri="{FF2B5EF4-FFF2-40B4-BE49-F238E27FC236}">
                <a16:creationId xmlns:a16="http://schemas.microsoft.com/office/drawing/2014/main" xmlns="" id="{00000000-0008-0000-0B00-000071010000}"/>
              </a:ext>
            </a:extLst>
          </xdr:cNvPr>
          <xdr:cNvCxnSpPr/>
        </xdr:nvCxnSpPr>
        <xdr:spPr bwMode="auto">
          <a:xfrm flipH="1">
            <a:off x="4161791" y="1880870"/>
            <a:ext cx="13906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0" name="Line 1597">
            <a:extLst>
              <a:ext uri="{FF2B5EF4-FFF2-40B4-BE49-F238E27FC236}">
                <a16:creationId xmlns:a16="http://schemas.microsoft.com/office/drawing/2014/main" xmlns="" id="{00000000-0008-0000-0B00-000072010000}"/>
              </a:ext>
            </a:extLst>
          </xdr:cNvPr>
          <xdr:cNvCxnSpPr/>
        </xdr:nvCxnSpPr>
        <xdr:spPr bwMode="auto">
          <a:xfrm flipH="1">
            <a:off x="4146551" y="1111885"/>
            <a:ext cx="154305"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1" name="Line 1598">
            <a:extLst>
              <a:ext uri="{FF2B5EF4-FFF2-40B4-BE49-F238E27FC236}">
                <a16:creationId xmlns:a16="http://schemas.microsoft.com/office/drawing/2014/main" xmlns="" id="{00000000-0008-0000-0B00-000073010000}"/>
              </a:ext>
            </a:extLst>
          </xdr:cNvPr>
          <xdr:cNvCxnSpPr/>
        </xdr:nvCxnSpPr>
        <xdr:spPr bwMode="auto">
          <a:xfrm flipH="1">
            <a:off x="4161791" y="649605"/>
            <a:ext cx="139065" cy="190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2" name="Line 1599">
            <a:extLst>
              <a:ext uri="{FF2B5EF4-FFF2-40B4-BE49-F238E27FC236}">
                <a16:creationId xmlns:a16="http://schemas.microsoft.com/office/drawing/2014/main" xmlns="" id="{00000000-0008-0000-0B00-000074010000}"/>
              </a:ext>
            </a:extLst>
          </xdr:cNvPr>
          <xdr:cNvCxnSpPr/>
        </xdr:nvCxnSpPr>
        <xdr:spPr bwMode="auto">
          <a:xfrm>
            <a:off x="1402715" y="1266190"/>
            <a:ext cx="168910" cy="1270"/>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cxnSp macro="">
        <xdr:nvCxnSpPr>
          <xdr:cNvPr id="373" name="Line 1600">
            <a:extLst>
              <a:ext uri="{FF2B5EF4-FFF2-40B4-BE49-F238E27FC236}">
                <a16:creationId xmlns:a16="http://schemas.microsoft.com/office/drawing/2014/main" xmlns="" id="{00000000-0008-0000-0B00-000075010000}"/>
              </a:ext>
            </a:extLst>
          </xdr:cNvPr>
          <xdr:cNvCxnSpPr/>
        </xdr:nvCxnSpPr>
        <xdr:spPr bwMode="auto">
          <a:xfrm>
            <a:off x="1402715" y="1727835"/>
            <a:ext cx="153670" cy="635"/>
          </a:xfrm>
          <a:prstGeom prst="line">
            <a:avLst/>
          </a:prstGeom>
          <a:noFill/>
          <a:ln w="15875" cap="rnd">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374" name="Oval 1601">
            <a:extLst>
              <a:ext uri="{FF2B5EF4-FFF2-40B4-BE49-F238E27FC236}">
                <a16:creationId xmlns:a16="http://schemas.microsoft.com/office/drawing/2014/main" xmlns="" id="{00000000-0008-0000-0B00-000076010000}"/>
              </a:ext>
            </a:extLst>
          </xdr:cNvPr>
          <xdr:cNvSpPr>
            <a:spLocks noChangeArrowheads="1"/>
          </xdr:cNvSpPr>
        </xdr:nvSpPr>
        <xdr:spPr bwMode="auto">
          <a:xfrm>
            <a:off x="3992880" y="103505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5" name="Oval 1602">
            <a:extLst>
              <a:ext uri="{FF2B5EF4-FFF2-40B4-BE49-F238E27FC236}">
                <a16:creationId xmlns:a16="http://schemas.microsoft.com/office/drawing/2014/main" xmlns="" id="{00000000-0008-0000-0B00-000077010000}"/>
              </a:ext>
            </a:extLst>
          </xdr:cNvPr>
          <xdr:cNvSpPr>
            <a:spLocks noChangeArrowheads="1"/>
          </xdr:cNvSpPr>
        </xdr:nvSpPr>
        <xdr:spPr bwMode="auto">
          <a:xfrm>
            <a:off x="3992880" y="103505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76" name="Rectangle 375">
            <a:extLst>
              <a:ext uri="{FF2B5EF4-FFF2-40B4-BE49-F238E27FC236}">
                <a16:creationId xmlns:a16="http://schemas.microsoft.com/office/drawing/2014/main" xmlns="" id="{00000000-0008-0000-0B00-000078010000}"/>
              </a:ext>
            </a:extLst>
          </xdr:cNvPr>
          <xdr:cNvSpPr>
            <a:spLocks noChangeArrowheads="1"/>
          </xdr:cNvSpPr>
        </xdr:nvSpPr>
        <xdr:spPr bwMode="auto">
          <a:xfrm>
            <a:off x="4036060" y="10426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77" name="Oval 1604">
            <a:extLst>
              <a:ext uri="{FF2B5EF4-FFF2-40B4-BE49-F238E27FC236}">
                <a16:creationId xmlns:a16="http://schemas.microsoft.com/office/drawing/2014/main" xmlns="" id="{00000000-0008-0000-0B00-000079010000}"/>
              </a:ext>
            </a:extLst>
          </xdr:cNvPr>
          <xdr:cNvSpPr>
            <a:spLocks noChangeArrowheads="1"/>
          </xdr:cNvSpPr>
        </xdr:nvSpPr>
        <xdr:spPr bwMode="auto">
          <a:xfrm>
            <a:off x="1556385" y="1649730"/>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78" name="Oval 1605">
            <a:extLst>
              <a:ext uri="{FF2B5EF4-FFF2-40B4-BE49-F238E27FC236}">
                <a16:creationId xmlns:a16="http://schemas.microsoft.com/office/drawing/2014/main" xmlns="" id="{00000000-0008-0000-0B00-00007A010000}"/>
              </a:ext>
            </a:extLst>
          </xdr:cNvPr>
          <xdr:cNvSpPr>
            <a:spLocks noChangeArrowheads="1"/>
          </xdr:cNvSpPr>
        </xdr:nvSpPr>
        <xdr:spPr bwMode="auto">
          <a:xfrm>
            <a:off x="1556385" y="1649730"/>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79" name="Rectangle 378">
            <a:extLst>
              <a:ext uri="{FF2B5EF4-FFF2-40B4-BE49-F238E27FC236}">
                <a16:creationId xmlns:a16="http://schemas.microsoft.com/office/drawing/2014/main" xmlns="" id="{00000000-0008-0000-0B00-00007B010000}"/>
              </a:ext>
            </a:extLst>
          </xdr:cNvPr>
          <xdr:cNvSpPr>
            <a:spLocks noChangeArrowheads="1"/>
          </xdr:cNvSpPr>
        </xdr:nvSpPr>
        <xdr:spPr bwMode="auto">
          <a:xfrm>
            <a:off x="1598295" y="1663065"/>
            <a:ext cx="6223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0" name="Oval 1607">
            <a:extLst>
              <a:ext uri="{FF2B5EF4-FFF2-40B4-BE49-F238E27FC236}">
                <a16:creationId xmlns:a16="http://schemas.microsoft.com/office/drawing/2014/main" xmlns="" id="{00000000-0008-0000-0B00-00007C010000}"/>
              </a:ext>
            </a:extLst>
          </xdr:cNvPr>
          <xdr:cNvSpPr>
            <a:spLocks noChangeArrowheads="1"/>
          </xdr:cNvSpPr>
        </xdr:nvSpPr>
        <xdr:spPr bwMode="auto">
          <a:xfrm>
            <a:off x="1556385" y="1188085"/>
            <a:ext cx="154305"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1" name="Oval 1608">
            <a:extLst>
              <a:ext uri="{FF2B5EF4-FFF2-40B4-BE49-F238E27FC236}">
                <a16:creationId xmlns:a16="http://schemas.microsoft.com/office/drawing/2014/main" xmlns="" id="{00000000-0008-0000-0B00-00007D010000}"/>
              </a:ext>
            </a:extLst>
          </xdr:cNvPr>
          <xdr:cNvSpPr>
            <a:spLocks noChangeArrowheads="1"/>
          </xdr:cNvSpPr>
        </xdr:nvSpPr>
        <xdr:spPr bwMode="auto">
          <a:xfrm>
            <a:off x="1556385" y="1188085"/>
            <a:ext cx="154305"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2" name="Rectangle 381">
            <a:extLst>
              <a:ext uri="{FF2B5EF4-FFF2-40B4-BE49-F238E27FC236}">
                <a16:creationId xmlns:a16="http://schemas.microsoft.com/office/drawing/2014/main" xmlns="" id="{00000000-0008-0000-0B00-00007E010000}"/>
              </a:ext>
            </a:extLst>
          </xdr:cNvPr>
          <xdr:cNvSpPr>
            <a:spLocks noChangeArrowheads="1"/>
          </xdr:cNvSpPr>
        </xdr:nvSpPr>
        <xdr:spPr bwMode="auto">
          <a:xfrm>
            <a:off x="1598295" y="1198245"/>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3" name="Oval 1610">
            <a:extLst>
              <a:ext uri="{FF2B5EF4-FFF2-40B4-BE49-F238E27FC236}">
                <a16:creationId xmlns:a16="http://schemas.microsoft.com/office/drawing/2014/main" xmlns="" id="{00000000-0008-0000-0B00-00007F010000}"/>
              </a:ext>
            </a:extLst>
          </xdr:cNvPr>
          <xdr:cNvSpPr>
            <a:spLocks noChangeArrowheads="1"/>
          </xdr:cNvSpPr>
        </xdr:nvSpPr>
        <xdr:spPr bwMode="auto">
          <a:xfrm>
            <a:off x="3992880" y="2266315"/>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4" name="Oval 1611">
            <a:extLst>
              <a:ext uri="{FF2B5EF4-FFF2-40B4-BE49-F238E27FC236}">
                <a16:creationId xmlns:a16="http://schemas.microsoft.com/office/drawing/2014/main" xmlns="" id="{00000000-0008-0000-0B00-000080010000}"/>
              </a:ext>
            </a:extLst>
          </xdr:cNvPr>
          <xdr:cNvSpPr>
            <a:spLocks noChangeArrowheads="1"/>
          </xdr:cNvSpPr>
        </xdr:nvSpPr>
        <xdr:spPr bwMode="auto">
          <a:xfrm>
            <a:off x="3992880" y="2266315"/>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5" name="Rectangle 384">
            <a:extLst>
              <a:ext uri="{FF2B5EF4-FFF2-40B4-BE49-F238E27FC236}">
                <a16:creationId xmlns:a16="http://schemas.microsoft.com/office/drawing/2014/main" xmlns="" id="{00000000-0008-0000-0B00-000081010000}"/>
              </a:ext>
            </a:extLst>
          </xdr:cNvPr>
          <xdr:cNvSpPr>
            <a:spLocks noChangeArrowheads="1"/>
          </xdr:cNvSpPr>
        </xdr:nvSpPr>
        <xdr:spPr bwMode="auto">
          <a:xfrm>
            <a:off x="4036060" y="2272030"/>
            <a:ext cx="62230" cy="123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6" name="Oval 1613">
            <a:extLst>
              <a:ext uri="{FF2B5EF4-FFF2-40B4-BE49-F238E27FC236}">
                <a16:creationId xmlns:a16="http://schemas.microsoft.com/office/drawing/2014/main" xmlns="" id="{00000000-0008-0000-0B00-000082010000}"/>
              </a:ext>
            </a:extLst>
          </xdr:cNvPr>
          <xdr:cNvSpPr>
            <a:spLocks noChangeArrowheads="1"/>
          </xdr:cNvSpPr>
        </xdr:nvSpPr>
        <xdr:spPr bwMode="auto">
          <a:xfrm>
            <a:off x="3992880" y="1804670"/>
            <a:ext cx="153670" cy="153035"/>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387" name="Oval 1614">
            <a:extLst>
              <a:ext uri="{FF2B5EF4-FFF2-40B4-BE49-F238E27FC236}">
                <a16:creationId xmlns:a16="http://schemas.microsoft.com/office/drawing/2014/main" xmlns="" id="{00000000-0008-0000-0B00-000083010000}"/>
              </a:ext>
            </a:extLst>
          </xdr:cNvPr>
          <xdr:cNvSpPr>
            <a:spLocks noChangeArrowheads="1"/>
          </xdr:cNvSpPr>
        </xdr:nvSpPr>
        <xdr:spPr bwMode="auto">
          <a:xfrm>
            <a:off x="3992880" y="1804670"/>
            <a:ext cx="153670" cy="153035"/>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88" name="Rectangle 387">
            <a:extLst>
              <a:ext uri="{FF2B5EF4-FFF2-40B4-BE49-F238E27FC236}">
                <a16:creationId xmlns:a16="http://schemas.microsoft.com/office/drawing/2014/main" xmlns="" id="{00000000-0008-0000-0B00-000084010000}"/>
              </a:ext>
            </a:extLst>
          </xdr:cNvPr>
          <xdr:cNvSpPr>
            <a:spLocks noChangeArrowheads="1"/>
          </xdr:cNvSpPr>
        </xdr:nvSpPr>
        <xdr:spPr bwMode="auto">
          <a:xfrm>
            <a:off x="4036060" y="1817370"/>
            <a:ext cx="62230"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89" name="Freeform 1616">
            <a:extLst>
              <a:ext uri="{FF2B5EF4-FFF2-40B4-BE49-F238E27FC236}">
                <a16:creationId xmlns:a16="http://schemas.microsoft.com/office/drawing/2014/main" xmlns="" id="{00000000-0008-0000-0B00-000085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0" name="Freeform 1617">
            <a:extLst>
              <a:ext uri="{FF2B5EF4-FFF2-40B4-BE49-F238E27FC236}">
                <a16:creationId xmlns:a16="http://schemas.microsoft.com/office/drawing/2014/main" xmlns="" id="{00000000-0008-0000-0B00-000086010000}"/>
              </a:ext>
            </a:extLst>
          </xdr:cNvPr>
          <xdr:cNvSpPr>
            <a:spLocks/>
          </xdr:cNvSpPr>
        </xdr:nvSpPr>
        <xdr:spPr bwMode="auto">
          <a:xfrm>
            <a:off x="4809490" y="789305"/>
            <a:ext cx="448310"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1" name="Rectangle 390">
            <a:extLst>
              <a:ext uri="{FF2B5EF4-FFF2-40B4-BE49-F238E27FC236}">
                <a16:creationId xmlns:a16="http://schemas.microsoft.com/office/drawing/2014/main" xmlns="" id="{00000000-0008-0000-0B00-000087010000}"/>
              </a:ext>
            </a:extLst>
          </xdr:cNvPr>
          <xdr:cNvSpPr>
            <a:spLocks noChangeArrowheads="1"/>
          </xdr:cNvSpPr>
        </xdr:nvSpPr>
        <xdr:spPr bwMode="auto">
          <a:xfrm>
            <a:off x="4918075" y="808990"/>
            <a:ext cx="39306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5</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2" name="Freeform 1619">
            <a:extLst>
              <a:ext uri="{FF2B5EF4-FFF2-40B4-BE49-F238E27FC236}">
                <a16:creationId xmlns:a16="http://schemas.microsoft.com/office/drawing/2014/main" xmlns="" id="{00000000-0008-0000-0B00-000088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3" name="Freeform 1620">
            <a:extLst>
              <a:ext uri="{FF2B5EF4-FFF2-40B4-BE49-F238E27FC236}">
                <a16:creationId xmlns:a16="http://schemas.microsoft.com/office/drawing/2014/main" xmlns="" id="{00000000-0008-0000-0B00-000089010000}"/>
              </a:ext>
            </a:extLst>
          </xdr:cNvPr>
          <xdr:cNvSpPr>
            <a:spLocks/>
          </xdr:cNvSpPr>
        </xdr:nvSpPr>
        <xdr:spPr bwMode="auto">
          <a:xfrm>
            <a:off x="4817745" y="201993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175 w 877"/>
              <a:gd name="T11" fmla="*/ 0 h 351"/>
              <a:gd name="T12" fmla="*/ 0 w 877"/>
              <a:gd name="T13" fmla="*/ 176 h 351"/>
              <a:gd name="T14" fmla="*/ 175 w 877"/>
              <a:gd name="T15" fmla="*/ 351 h 35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175" y="0"/>
                </a:lnTo>
                <a:cubicBezTo>
                  <a:pt x="78" y="0"/>
                  <a:pt x="0" y="79"/>
                  <a:pt x="0" y="176"/>
                </a:cubicBezTo>
                <a:cubicBezTo>
                  <a:pt x="0" y="273"/>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4" name="Rectangle 393">
            <a:extLst>
              <a:ext uri="{FF2B5EF4-FFF2-40B4-BE49-F238E27FC236}">
                <a16:creationId xmlns:a16="http://schemas.microsoft.com/office/drawing/2014/main" xmlns="" id="{00000000-0008-0000-0B00-00008A010000}"/>
              </a:ext>
            </a:extLst>
          </xdr:cNvPr>
          <xdr:cNvSpPr>
            <a:spLocks noChangeArrowheads="1"/>
          </xdr:cNvSpPr>
        </xdr:nvSpPr>
        <xdr:spPr bwMode="auto">
          <a:xfrm>
            <a:off x="4914900" y="2066290"/>
            <a:ext cx="5410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3</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395" name="Freeform 1622">
            <a:extLst>
              <a:ext uri="{FF2B5EF4-FFF2-40B4-BE49-F238E27FC236}">
                <a16:creationId xmlns:a16="http://schemas.microsoft.com/office/drawing/2014/main" xmlns="" id="{00000000-0008-0000-0B00-00008B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396" name="Freeform 1623">
            <a:extLst>
              <a:ext uri="{FF2B5EF4-FFF2-40B4-BE49-F238E27FC236}">
                <a16:creationId xmlns:a16="http://schemas.microsoft.com/office/drawing/2014/main" xmlns="" id="{00000000-0008-0000-0B00-00008C010000}"/>
              </a:ext>
            </a:extLst>
          </xdr:cNvPr>
          <xdr:cNvSpPr>
            <a:spLocks/>
          </xdr:cNvSpPr>
        </xdr:nvSpPr>
        <xdr:spPr bwMode="auto">
          <a:xfrm>
            <a:off x="1917065" y="1407795"/>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397" name="Rectangle 396">
            <a:extLst>
              <a:ext uri="{FF2B5EF4-FFF2-40B4-BE49-F238E27FC236}">
                <a16:creationId xmlns:a16="http://schemas.microsoft.com/office/drawing/2014/main" xmlns="" id="{00000000-0008-0000-0B00-00008D010000}"/>
              </a:ext>
            </a:extLst>
          </xdr:cNvPr>
          <xdr:cNvSpPr>
            <a:spLocks noChangeArrowheads="1"/>
          </xdr:cNvSpPr>
        </xdr:nvSpPr>
        <xdr:spPr bwMode="auto">
          <a:xfrm>
            <a:off x="2022475" y="1443990"/>
            <a:ext cx="332105" cy="14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 4</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398" name="Line 1625">
            <a:extLst>
              <a:ext uri="{FF2B5EF4-FFF2-40B4-BE49-F238E27FC236}">
                <a16:creationId xmlns:a16="http://schemas.microsoft.com/office/drawing/2014/main" xmlns="" id="{00000000-0008-0000-0B00-00008E010000}"/>
              </a:ext>
            </a:extLst>
          </xdr:cNvPr>
          <xdr:cNvCxnSpPr/>
        </xdr:nvCxnSpPr>
        <xdr:spPr bwMode="auto">
          <a:xfrm>
            <a:off x="5033010" y="63246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399" name="Line 1626">
            <a:extLst>
              <a:ext uri="{FF2B5EF4-FFF2-40B4-BE49-F238E27FC236}">
                <a16:creationId xmlns:a16="http://schemas.microsoft.com/office/drawing/2014/main" xmlns="" id="{00000000-0008-0000-0B00-00008F010000}"/>
              </a:ext>
            </a:extLst>
          </xdr:cNvPr>
          <xdr:cNvCxnSpPr/>
        </xdr:nvCxnSpPr>
        <xdr:spPr bwMode="auto">
          <a:xfrm>
            <a:off x="5041265" y="1863090"/>
            <a:ext cx="635" cy="15684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cxnSp macro="">
        <xdr:nvCxnSpPr>
          <xdr:cNvPr id="400" name="Line 1627">
            <a:extLst>
              <a:ext uri="{FF2B5EF4-FFF2-40B4-BE49-F238E27FC236}">
                <a16:creationId xmlns:a16="http://schemas.microsoft.com/office/drawing/2014/main" xmlns="" id="{00000000-0008-0000-0B00-000090010000}"/>
              </a:ext>
            </a:extLst>
          </xdr:cNvPr>
          <xdr:cNvCxnSpPr/>
        </xdr:nvCxnSpPr>
        <xdr:spPr bwMode="auto">
          <a:xfrm flipH="1">
            <a:off x="2139951" y="1249680"/>
            <a:ext cx="1905" cy="158115"/>
          </a:xfrm>
          <a:prstGeom prst="line">
            <a:avLst/>
          </a:prstGeom>
          <a:noFill/>
          <a:ln w="15875"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01" name="Rectangle 400">
            <a:extLst>
              <a:ext uri="{FF2B5EF4-FFF2-40B4-BE49-F238E27FC236}">
                <a16:creationId xmlns:a16="http://schemas.microsoft.com/office/drawing/2014/main" xmlns="" id="{00000000-0008-0000-0B00-000091010000}"/>
              </a:ext>
            </a:extLst>
          </xdr:cNvPr>
          <xdr:cNvSpPr>
            <a:spLocks noChangeArrowheads="1"/>
          </xdr:cNvSpPr>
        </xdr:nvSpPr>
        <xdr:spPr bwMode="auto">
          <a:xfrm>
            <a:off x="2672080" y="1496060"/>
            <a:ext cx="107886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02" name="Rectangle 401">
            <a:extLst>
              <a:ext uri="{FF2B5EF4-FFF2-40B4-BE49-F238E27FC236}">
                <a16:creationId xmlns:a16="http://schemas.microsoft.com/office/drawing/2014/main" xmlns="" id="{00000000-0008-0000-0B00-000092010000}"/>
              </a:ext>
            </a:extLst>
          </xdr:cNvPr>
          <xdr:cNvSpPr>
            <a:spLocks noChangeArrowheads="1"/>
          </xdr:cNvSpPr>
        </xdr:nvSpPr>
        <xdr:spPr bwMode="auto">
          <a:xfrm>
            <a:off x="2672080" y="1496060"/>
            <a:ext cx="1078865" cy="32385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3" name="Rectangle 402">
            <a:extLst>
              <a:ext uri="{FF2B5EF4-FFF2-40B4-BE49-F238E27FC236}">
                <a16:creationId xmlns:a16="http://schemas.microsoft.com/office/drawing/2014/main" xmlns="" id="{00000000-0008-0000-0B00-000093010000}"/>
              </a:ext>
            </a:extLst>
          </xdr:cNvPr>
          <xdr:cNvSpPr>
            <a:spLocks noChangeArrowheads="1"/>
          </xdr:cNvSpPr>
        </xdr:nvSpPr>
        <xdr:spPr bwMode="auto">
          <a:xfrm>
            <a:off x="2628900" y="1597660"/>
            <a:ext cx="114300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gn="ct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 appoint éventuel)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4" name="Freeform 1631">
            <a:extLst>
              <a:ext uri="{FF2B5EF4-FFF2-40B4-BE49-F238E27FC236}">
                <a16:creationId xmlns:a16="http://schemas.microsoft.com/office/drawing/2014/main" xmlns="" id="{00000000-0008-0000-0B00-000094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5" name="Freeform 1632">
            <a:extLst>
              <a:ext uri="{FF2B5EF4-FFF2-40B4-BE49-F238E27FC236}">
                <a16:creationId xmlns:a16="http://schemas.microsoft.com/office/drawing/2014/main" xmlns="" id="{00000000-0008-0000-0B00-000095010000}"/>
              </a:ext>
            </a:extLst>
          </xdr:cNvPr>
          <xdr:cNvSpPr>
            <a:spLocks/>
          </xdr:cNvSpPr>
        </xdr:nvSpPr>
        <xdr:spPr bwMode="auto">
          <a:xfrm>
            <a:off x="107315" y="2468880"/>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6"/>
                </a:cubicBezTo>
                <a:cubicBezTo>
                  <a:pt x="877" y="79"/>
                  <a:pt x="798" y="0"/>
                  <a:pt x="701" y="0"/>
                </a:cubicBezTo>
                <a:cubicBezTo>
                  <a:pt x="701" y="0"/>
                  <a:pt x="701" y="0"/>
                  <a:pt x="701" y="0"/>
                </a:cubicBezTo>
                <a:lnTo>
                  <a:pt x="701" y="0"/>
                </a:lnTo>
                <a:lnTo>
                  <a:pt x="175" y="0"/>
                </a:lnTo>
                <a:cubicBezTo>
                  <a:pt x="79" y="0"/>
                  <a:pt x="0" y="79"/>
                  <a:pt x="0" y="176"/>
                </a:cubicBezTo>
                <a:cubicBezTo>
                  <a:pt x="0" y="272"/>
                  <a:pt x="79" y="351"/>
                  <a:pt x="175" y="351"/>
                </a:cubicBezTo>
                <a:close/>
              </a:path>
            </a:pathLst>
          </a:custGeom>
          <a:noFill/>
          <a:ln w="15875"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6" name="Rectangle 405">
            <a:extLst>
              <a:ext uri="{FF2B5EF4-FFF2-40B4-BE49-F238E27FC236}">
                <a16:creationId xmlns:a16="http://schemas.microsoft.com/office/drawing/2014/main" xmlns="" id="{00000000-0008-0000-0B00-000096010000}"/>
              </a:ext>
            </a:extLst>
          </xdr:cNvPr>
          <xdr:cNvSpPr>
            <a:spLocks noChangeArrowheads="1"/>
          </xdr:cNvSpPr>
        </xdr:nvSpPr>
        <xdr:spPr bwMode="auto">
          <a:xfrm>
            <a:off x="228600" y="2180590"/>
            <a:ext cx="3429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07" name="Freeform 1634">
            <a:extLst>
              <a:ext uri="{FF2B5EF4-FFF2-40B4-BE49-F238E27FC236}">
                <a16:creationId xmlns:a16="http://schemas.microsoft.com/office/drawing/2014/main" xmlns="" id="{00000000-0008-0000-0B00-000097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08" name="Freeform 1635">
            <a:extLst>
              <a:ext uri="{FF2B5EF4-FFF2-40B4-BE49-F238E27FC236}">
                <a16:creationId xmlns:a16="http://schemas.microsoft.com/office/drawing/2014/main" xmlns="" id="{00000000-0008-0000-0B00-000098010000}"/>
              </a:ext>
            </a:extLst>
          </xdr:cNvPr>
          <xdr:cNvSpPr>
            <a:spLocks/>
          </xdr:cNvSpPr>
        </xdr:nvSpPr>
        <xdr:spPr bwMode="auto">
          <a:xfrm>
            <a:off x="107315" y="2776220"/>
            <a:ext cx="447675" cy="178435"/>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9" y="0"/>
                  <a:pt x="0" y="78"/>
                  <a:pt x="0" y="175"/>
                </a:cubicBezTo>
                <a:cubicBezTo>
                  <a:pt x="0" y="272"/>
                  <a:pt x="79" y="351"/>
                  <a:pt x="175" y="351"/>
                </a:cubicBezTo>
                <a:close/>
              </a:path>
            </a:pathLst>
          </a:custGeom>
          <a:noFill/>
          <a:ln w="15875" cap="rnd">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09" name="Rectangle 408">
            <a:extLst>
              <a:ext uri="{FF2B5EF4-FFF2-40B4-BE49-F238E27FC236}">
                <a16:creationId xmlns:a16="http://schemas.microsoft.com/office/drawing/2014/main" xmlns="" id="{00000000-0008-0000-0B00-000099010000}"/>
              </a:ext>
            </a:extLst>
          </xdr:cNvPr>
          <xdr:cNvSpPr>
            <a:spLocks noChangeArrowheads="1"/>
          </xdr:cNvSpPr>
        </xdr:nvSpPr>
        <xdr:spPr bwMode="auto">
          <a:xfrm>
            <a:off x="211455" y="2810510"/>
            <a:ext cx="36004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0" name="Oval 1637">
            <a:extLst>
              <a:ext uri="{FF2B5EF4-FFF2-40B4-BE49-F238E27FC236}">
                <a16:creationId xmlns:a16="http://schemas.microsoft.com/office/drawing/2014/main" xmlns="" id="{00000000-0008-0000-0B00-00009A010000}"/>
              </a:ext>
            </a:extLst>
          </xdr:cNvPr>
          <xdr:cNvSpPr>
            <a:spLocks noChangeArrowheads="1"/>
          </xdr:cNvSpPr>
        </xdr:nvSpPr>
        <xdr:spPr bwMode="auto">
          <a:xfrm>
            <a:off x="254000" y="3095625"/>
            <a:ext cx="153670" cy="154940"/>
          </a:xfrm>
          <a:prstGeom prst="ellipse">
            <a:avLst/>
          </a:prstGeom>
          <a:solidFill>
            <a:srgbClr val="FFFFFF"/>
          </a:solidFill>
          <a:ln w="0">
            <a:solidFill>
              <a:srgbClr val="000000"/>
            </a:solidFill>
            <a:round/>
            <a:headEnd/>
            <a:tailEnd/>
          </a:ln>
        </xdr:spPr>
        <xdr:txBody>
          <a:bodyPr rot="0" vert="horz" wrap="square" lIns="91440" tIns="45720" rIns="91440" bIns="45720" anchor="t" anchorCtr="0" upright="1">
            <a:noAutofit/>
          </a:bodyPr>
          <a:lstStyle/>
          <a:p>
            <a:endParaRPr lang="fr-FR"/>
          </a:p>
        </xdr:txBody>
      </xdr:sp>
      <xdr:sp macro="" textlink="">
        <xdr:nvSpPr>
          <xdr:cNvPr id="411" name="Oval 1638">
            <a:extLst>
              <a:ext uri="{FF2B5EF4-FFF2-40B4-BE49-F238E27FC236}">
                <a16:creationId xmlns:a16="http://schemas.microsoft.com/office/drawing/2014/main" xmlns="" id="{00000000-0008-0000-0B00-00009B010000}"/>
              </a:ext>
            </a:extLst>
          </xdr:cNvPr>
          <xdr:cNvSpPr>
            <a:spLocks noChangeArrowheads="1"/>
          </xdr:cNvSpPr>
        </xdr:nvSpPr>
        <xdr:spPr bwMode="auto">
          <a:xfrm>
            <a:off x="254000" y="3095625"/>
            <a:ext cx="153670" cy="154940"/>
          </a:xfrm>
          <a:prstGeom prst="ellipse">
            <a:avLst/>
          </a:prstGeom>
          <a:noFill/>
          <a:ln w="15875"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2" name="Rectangle 411">
            <a:extLst>
              <a:ext uri="{FF2B5EF4-FFF2-40B4-BE49-F238E27FC236}">
                <a16:creationId xmlns:a16="http://schemas.microsoft.com/office/drawing/2014/main" xmlns="" id="{00000000-0008-0000-0B00-00009C010000}"/>
              </a:ext>
            </a:extLst>
          </xdr:cNvPr>
          <xdr:cNvSpPr>
            <a:spLocks noChangeArrowheads="1"/>
          </xdr:cNvSpPr>
        </xdr:nvSpPr>
        <xdr:spPr bwMode="auto">
          <a:xfrm>
            <a:off x="293370" y="3111500"/>
            <a:ext cx="62865" cy="12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3" name="Rectangle 412">
            <a:extLst>
              <a:ext uri="{FF2B5EF4-FFF2-40B4-BE49-F238E27FC236}">
                <a16:creationId xmlns:a16="http://schemas.microsoft.com/office/drawing/2014/main" xmlns="" id="{00000000-0008-0000-0B00-00009D010000}"/>
              </a:ext>
            </a:extLst>
          </xdr:cNvPr>
          <xdr:cNvSpPr>
            <a:spLocks noChangeArrowheads="1"/>
          </xdr:cNvSpPr>
        </xdr:nvSpPr>
        <xdr:spPr bwMode="auto">
          <a:xfrm>
            <a:off x="683260" y="2493645"/>
            <a:ext cx="1063625" cy="15367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4" name="Rectangle 413">
            <a:extLst>
              <a:ext uri="{FF2B5EF4-FFF2-40B4-BE49-F238E27FC236}">
                <a16:creationId xmlns:a16="http://schemas.microsoft.com/office/drawing/2014/main" xmlns="" id="{00000000-0008-0000-0B00-00009E010000}"/>
              </a:ext>
            </a:extLst>
          </xdr:cNvPr>
          <xdr:cNvSpPr>
            <a:spLocks noChangeArrowheads="1"/>
          </xdr:cNvSpPr>
        </xdr:nvSpPr>
        <xdr:spPr bwMode="auto">
          <a:xfrm>
            <a:off x="683260" y="2493645"/>
            <a:ext cx="1063625" cy="153670"/>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5" name="Rectangle 414">
            <a:extLst>
              <a:ext uri="{FF2B5EF4-FFF2-40B4-BE49-F238E27FC236}">
                <a16:creationId xmlns:a16="http://schemas.microsoft.com/office/drawing/2014/main" xmlns="" id="{00000000-0008-0000-0B00-00009F010000}"/>
              </a:ext>
            </a:extLst>
          </xdr:cNvPr>
          <xdr:cNvSpPr>
            <a:spLocks noChangeArrowheads="1"/>
          </xdr:cNvSpPr>
        </xdr:nvSpPr>
        <xdr:spPr bwMode="auto">
          <a:xfrm>
            <a:off x="800100" y="25234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électrique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6" name="Rectangle 415">
            <a:extLst>
              <a:ext uri="{FF2B5EF4-FFF2-40B4-BE49-F238E27FC236}">
                <a16:creationId xmlns:a16="http://schemas.microsoft.com/office/drawing/2014/main" xmlns="" id="{00000000-0008-0000-0B00-0000A0010000}"/>
              </a:ext>
            </a:extLst>
          </xdr:cNvPr>
          <xdr:cNvSpPr>
            <a:spLocks noChangeArrowheads="1"/>
          </xdr:cNvSpPr>
        </xdr:nvSpPr>
        <xdr:spPr bwMode="auto">
          <a:xfrm>
            <a:off x="696595" y="3108960"/>
            <a:ext cx="114681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17" name="Rectangle 416">
            <a:extLst>
              <a:ext uri="{FF2B5EF4-FFF2-40B4-BE49-F238E27FC236}">
                <a16:creationId xmlns:a16="http://schemas.microsoft.com/office/drawing/2014/main" xmlns="" id="{00000000-0008-0000-0B00-0000A1010000}"/>
              </a:ext>
            </a:extLst>
          </xdr:cNvPr>
          <xdr:cNvSpPr>
            <a:spLocks noChangeArrowheads="1"/>
          </xdr:cNvSpPr>
        </xdr:nvSpPr>
        <xdr:spPr bwMode="auto">
          <a:xfrm>
            <a:off x="696595" y="3108960"/>
            <a:ext cx="114681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18" name="Rectangle 417">
            <a:extLst>
              <a:ext uri="{FF2B5EF4-FFF2-40B4-BE49-F238E27FC236}">
                <a16:creationId xmlns:a16="http://schemas.microsoft.com/office/drawing/2014/main" xmlns="" id="{00000000-0008-0000-0B00-0000A2010000}"/>
              </a:ext>
            </a:extLst>
          </xdr:cNvPr>
          <xdr:cNvSpPr>
            <a:spLocks noChangeArrowheads="1"/>
          </xdr:cNvSpPr>
        </xdr:nvSpPr>
        <xdr:spPr bwMode="auto">
          <a:xfrm>
            <a:off x="725805" y="3094990"/>
            <a:ext cx="1331595"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Sonde de température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19" name="Rectangle 418">
            <a:extLst>
              <a:ext uri="{FF2B5EF4-FFF2-40B4-BE49-F238E27FC236}">
                <a16:creationId xmlns:a16="http://schemas.microsoft.com/office/drawing/2014/main" xmlns="" id="{00000000-0008-0000-0B00-0000A3010000}"/>
              </a:ext>
            </a:extLst>
          </xdr:cNvPr>
          <xdr:cNvSpPr>
            <a:spLocks noChangeArrowheads="1"/>
          </xdr:cNvSpPr>
        </xdr:nvSpPr>
        <xdr:spPr bwMode="auto">
          <a:xfrm>
            <a:off x="688340" y="2800350"/>
            <a:ext cx="1043940" cy="15303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20" name="Rectangle 419">
            <a:extLst>
              <a:ext uri="{FF2B5EF4-FFF2-40B4-BE49-F238E27FC236}">
                <a16:creationId xmlns:a16="http://schemas.microsoft.com/office/drawing/2014/main" xmlns="" id="{00000000-0008-0000-0B00-0000A4010000}"/>
              </a:ext>
            </a:extLst>
          </xdr:cNvPr>
          <xdr:cNvSpPr>
            <a:spLocks noChangeArrowheads="1"/>
          </xdr:cNvSpPr>
        </xdr:nvSpPr>
        <xdr:spPr bwMode="auto">
          <a:xfrm>
            <a:off x="688340" y="2800350"/>
            <a:ext cx="1043940" cy="15303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1" name="Rectangle 420">
            <a:extLst>
              <a:ext uri="{FF2B5EF4-FFF2-40B4-BE49-F238E27FC236}">
                <a16:creationId xmlns:a16="http://schemas.microsoft.com/office/drawing/2014/main" xmlns="" id="{00000000-0008-0000-0B00-0000A5010000}"/>
              </a:ext>
            </a:extLst>
          </xdr:cNvPr>
          <xdr:cNvSpPr>
            <a:spLocks noChangeArrowheads="1"/>
          </xdr:cNvSpPr>
        </xdr:nvSpPr>
        <xdr:spPr bwMode="auto">
          <a:xfrm>
            <a:off x="734695" y="2818765"/>
            <a:ext cx="166560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d’énergie thermique</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22" name="Freeform 1649">
            <a:extLst>
              <a:ext uri="{FF2B5EF4-FFF2-40B4-BE49-F238E27FC236}">
                <a16:creationId xmlns:a16="http://schemas.microsoft.com/office/drawing/2014/main" xmlns="" id="{00000000-0008-0000-0B00-0000A6010000}"/>
              </a:ext>
            </a:extLst>
          </xdr:cNvPr>
          <xdr:cNvSpPr>
            <a:spLocks/>
          </xdr:cNvSpPr>
        </xdr:nvSpPr>
        <xdr:spPr bwMode="auto">
          <a:xfrm>
            <a:off x="114300" y="2180590"/>
            <a:ext cx="446405" cy="178435"/>
          </a:xfrm>
          <a:custGeom>
            <a:avLst/>
            <a:gdLst>
              <a:gd name="T0" fmla="*/ 176 w 877"/>
              <a:gd name="T1" fmla="*/ 351 h 351"/>
              <a:gd name="T2" fmla="*/ 702 w 877"/>
              <a:gd name="T3" fmla="*/ 351 h 351"/>
              <a:gd name="T4" fmla="*/ 877 w 877"/>
              <a:gd name="T5" fmla="*/ 176 h 351"/>
              <a:gd name="T6" fmla="*/ 702 w 877"/>
              <a:gd name="T7" fmla="*/ 0 h 351"/>
              <a:gd name="T8" fmla="*/ 702 w 877"/>
              <a:gd name="T9" fmla="*/ 0 h 351"/>
              <a:gd name="T10" fmla="*/ 702 w 877"/>
              <a:gd name="T11" fmla="*/ 0 h 351"/>
              <a:gd name="T12" fmla="*/ 176 w 877"/>
              <a:gd name="T13" fmla="*/ 0 h 351"/>
              <a:gd name="T14" fmla="*/ 0 w 877"/>
              <a:gd name="T15" fmla="*/ 176 h 351"/>
              <a:gd name="T16" fmla="*/ 176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6" y="351"/>
                </a:moveTo>
                <a:lnTo>
                  <a:pt x="702" y="351"/>
                </a:lnTo>
                <a:cubicBezTo>
                  <a:pt x="799" y="351"/>
                  <a:pt x="877" y="273"/>
                  <a:pt x="877" y="176"/>
                </a:cubicBezTo>
                <a:cubicBezTo>
                  <a:pt x="877" y="79"/>
                  <a:pt x="799" y="0"/>
                  <a:pt x="702" y="0"/>
                </a:cubicBezTo>
                <a:cubicBezTo>
                  <a:pt x="702" y="0"/>
                  <a:pt x="702" y="0"/>
                  <a:pt x="702" y="0"/>
                </a:cubicBezTo>
                <a:lnTo>
                  <a:pt x="702" y="0"/>
                </a:lnTo>
                <a:lnTo>
                  <a:pt x="176" y="0"/>
                </a:lnTo>
                <a:cubicBezTo>
                  <a:pt x="79" y="0"/>
                  <a:pt x="0" y="79"/>
                  <a:pt x="0" y="176"/>
                </a:cubicBezTo>
                <a:cubicBezTo>
                  <a:pt x="0" y="273"/>
                  <a:pt x="79" y="351"/>
                  <a:pt x="176"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3" name="Rectangle 422">
            <a:extLst>
              <a:ext uri="{FF2B5EF4-FFF2-40B4-BE49-F238E27FC236}">
                <a16:creationId xmlns:a16="http://schemas.microsoft.com/office/drawing/2014/main" xmlns="" id="{00000000-0008-0000-0B00-0000A7010000}"/>
              </a:ext>
            </a:extLst>
          </xdr:cNvPr>
          <xdr:cNvSpPr>
            <a:spLocks noChangeArrowheads="1"/>
          </xdr:cNvSpPr>
        </xdr:nvSpPr>
        <xdr:spPr bwMode="auto">
          <a:xfrm>
            <a:off x="2717165" y="2834640"/>
            <a:ext cx="407035"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1el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4" name="Line 1651">
            <a:extLst>
              <a:ext uri="{FF2B5EF4-FFF2-40B4-BE49-F238E27FC236}">
                <a16:creationId xmlns:a16="http://schemas.microsoft.com/office/drawing/2014/main" xmlns="" id="{00000000-0008-0000-0B00-0000A8010000}"/>
              </a:ext>
            </a:extLst>
          </xdr:cNvPr>
          <xdr:cNvCxnSpPr/>
        </xdr:nvCxnSpPr>
        <xdr:spPr bwMode="auto">
          <a:xfrm flipV="1">
            <a:off x="2834005" y="2649855"/>
            <a:ext cx="1270"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25" name="Freeform 1652">
            <a:extLst>
              <a:ext uri="{FF2B5EF4-FFF2-40B4-BE49-F238E27FC236}">
                <a16:creationId xmlns:a16="http://schemas.microsoft.com/office/drawing/2014/main" xmlns="" id="{00000000-0008-0000-0B00-0000A9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solidFill>
            <a:srgbClr val="FFFFFF"/>
          </a:solidFill>
          <a:ln w="0">
            <a:solidFill>
              <a:srgbClr val="000000"/>
            </a:solidFill>
            <a:prstDash val="solid"/>
            <a:round/>
            <a:headEnd/>
            <a:tailEnd/>
          </a:ln>
        </xdr:spPr>
        <xdr:txBody>
          <a:bodyPr rot="0" vert="horz" wrap="square" lIns="91440" tIns="45720" rIns="91440" bIns="45720" anchor="t" anchorCtr="0" upright="1">
            <a:noAutofit/>
          </a:bodyPr>
          <a:lstStyle/>
          <a:p>
            <a:endParaRPr lang="fr-FR"/>
          </a:p>
        </xdr:txBody>
      </xdr:sp>
      <xdr:sp macro="" textlink="">
        <xdr:nvSpPr>
          <xdr:cNvPr id="426" name="Freeform 1653">
            <a:extLst>
              <a:ext uri="{FF2B5EF4-FFF2-40B4-BE49-F238E27FC236}">
                <a16:creationId xmlns:a16="http://schemas.microsoft.com/office/drawing/2014/main" xmlns="" id="{00000000-0008-0000-0B00-0000AA010000}"/>
              </a:ext>
            </a:extLst>
          </xdr:cNvPr>
          <xdr:cNvSpPr>
            <a:spLocks/>
          </xdr:cNvSpPr>
        </xdr:nvSpPr>
        <xdr:spPr bwMode="auto">
          <a:xfrm>
            <a:off x="3366135" y="280479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27" name="Rectangle 426">
            <a:extLst>
              <a:ext uri="{FF2B5EF4-FFF2-40B4-BE49-F238E27FC236}">
                <a16:creationId xmlns:a16="http://schemas.microsoft.com/office/drawing/2014/main" xmlns="" id="{00000000-0008-0000-0B00-0000AB010000}"/>
              </a:ext>
            </a:extLst>
          </xdr:cNvPr>
          <xdr:cNvSpPr>
            <a:spLocks noChangeArrowheads="1"/>
          </xdr:cNvSpPr>
        </xdr:nvSpPr>
        <xdr:spPr bwMode="auto">
          <a:xfrm>
            <a:off x="3429000" y="2866390"/>
            <a:ext cx="457200" cy="8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Cgaz 2</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28" name="Line 1655">
            <a:extLst>
              <a:ext uri="{FF2B5EF4-FFF2-40B4-BE49-F238E27FC236}">
                <a16:creationId xmlns:a16="http://schemas.microsoft.com/office/drawing/2014/main" xmlns="" id="{00000000-0008-0000-0B00-0000AC010000}"/>
              </a:ext>
            </a:extLst>
          </xdr:cNvPr>
          <xdr:cNvCxnSpPr/>
        </xdr:nvCxnSpPr>
        <xdr:spPr bwMode="auto">
          <a:xfrm flipV="1">
            <a:off x="3589655" y="2649855"/>
            <a:ext cx="635" cy="154940"/>
          </a:xfrm>
          <a:prstGeom prst="line">
            <a:avLst/>
          </a:prstGeom>
          <a:noFill/>
          <a:ln w="15875" cap="rnd">
            <a:solidFill>
              <a:srgbClr val="008000"/>
            </a:solidFill>
            <a:round/>
            <a:headEnd/>
            <a:tailEnd/>
          </a:ln>
          <a:extLst>
            <a:ext uri="{909E8E84-426E-40DD-AFC4-6F175D3DCCD1}">
              <a14:hiddenFill xmlns:a14="http://schemas.microsoft.com/office/drawing/2010/main">
                <a:noFill/>
              </a14:hiddenFill>
            </a:ext>
          </a:extLst>
        </xdr:spPr>
      </xdr:cxnSp>
      <xdr:sp macro="" textlink="">
        <xdr:nvSpPr>
          <xdr:cNvPr id="429" name="Rectangle 428">
            <a:extLst>
              <a:ext uri="{FF2B5EF4-FFF2-40B4-BE49-F238E27FC236}">
                <a16:creationId xmlns:a16="http://schemas.microsoft.com/office/drawing/2014/main" xmlns="" id="{00000000-0008-0000-0B00-0000AD010000}"/>
              </a:ext>
            </a:extLst>
          </xdr:cNvPr>
          <xdr:cNvSpPr>
            <a:spLocks noChangeArrowheads="1"/>
          </xdr:cNvSpPr>
        </xdr:nvSpPr>
        <xdr:spPr bwMode="auto">
          <a:xfrm>
            <a:off x="2679700" y="3035300"/>
            <a:ext cx="308610"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0" name="Rectangle 429">
            <a:extLst>
              <a:ext uri="{FF2B5EF4-FFF2-40B4-BE49-F238E27FC236}">
                <a16:creationId xmlns:a16="http://schemas.microsoft.com/office/drawing/2014/main" xmlns="" id="{00000000-0008-0000-0B00-0000AE010000}"/>
              </a:ext>
            </a:extLst>
          </xdr:cNvPr>
          <xdr:cNvSpPr>
            <a:spLocks noChangeArrowheads="1"/>
          </xdr:cNvSpPr>
        </xdr:nvSpPr>
        <xdr:spPr bwMode="auto">
          <a:xfrm>
            <a:off x="2679700" y="3035300"/>
            <a:ext cx="308610"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1" name="Rectangle 430">
            <a:extLst>
              <a:ext uri="{FF2B5EF4-FFF2-40B4-BE49-F238E27FC236}">
                <a16:creationId xmlns:a16="http://schemas.microsoft.com/office/drawing/2014/main" xmlns="" id="{00000000-0008-0000-0B00-0000AF010000}"/>
              </a:ext>
            </a:extLst>
          </xdr:cNvPr>
          <xdr:cNvSpPr>
            <a:spLocks noChangeArrowheads="1"/>
          </xdr:cNvSpPr>
        </xdr:nvSpPr>
        <xdr:spPr bwMode="auto">
          <a:xfrm>
            <a:off x="2724150" y="3054985"/>
            <a:ext cx="36195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PAC</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2" name="Rectangle 431">
            <a:extLst>
              <a:ext uri="{FF2B5EF4-FFF2-40B4-BE49-F238E27FC236}">
                <a16:creationId xmlns:a16="http://schemas.microsoft.com/office/drawing/2014/main" xmlns="" id="{00000000-0008-0000-0B00-0000B0010000}"/>
              </a:ext>
            </a:extLst>
          </xdr:cNvPr>
          <xdr:cNvSpPr>
            <a:spLocks noChangeArrowheads="1"/>
          </xdr:cNvSpPr>
        </xdr:nvSpPr>
        <xdr:spPr bwMode="auto">
          <a:xfrm>
            <a:off x="3366135" y="3035300"/>
            <a:ext cx="462915" cy="15430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fr-FR"/>
          </a:p>
        </xdr:txBody>
      </xdr:sp>
      <xdr:sp macro="" textlink="">
        <xdr:nvSpPr>
          <xdr:cNvPr id="433" name="Rectangle 432">
            <a:extLst>
              <a:ext uri="{FF2B5EF4-FFF2-40B4-BE49-F238E27FC236}">
                <a16:creationId xmlns:a16="http://schemas.microsoft.com/office/drawing/2014/main" xmlns="" id="{00000000-0008-0000-0B00-0000B1010000}"/>
              </a:ext>
            </a:extLst>
          </xdr:cNvPr>
          <xdr:cNvSpPr>
            <a:spLocks noChangeArrowheads="1"/>
          </xdr:cNvSpPr>
        </xdr:nvSpPr>
        <xdr:spPr bwMode="auto">
          <a:xfrm>
            <a:off x="3366135" y="3035300"/>
            <a:ext cx="462915" cy="154305"/>
          </a:xfrm>
          <a:prstGeom prst="rect">
            <a:avLst/>
          </a:prstGeom>
          <a:noFill/>
          <a:ln w="3175" cap="rnd">
            <a:solidFill>
              <a:srgbClr val="FFFFFF"/>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4" name="Rectangle 433">
            <a:extLst>
              <a:ext uri="{FF2B5EF4-FFF2-40B4-BE49-F238E27FC236}">
                <a16:creationId xmlns:a16="http://schemas.microsoft.com/office/drawing/2014/main" xmlns="" id="{00000000-0008-0000-0B00-0000B2010000}"/>
              </a:ext>
            </a:extLst>
          </xdr:cNvPr>
          <xdr:cNvSpPr>
            <a:spLocks noChangeArrowheads="1"/>
          </xdr:cNvSpPr>
        </xdr:nvSpPr>
        <xdr:spPr bwMode="auto">
          <a:xfrm>
            <a:off x="3409315" y="3054985"/>
            <a:ext cx="591185" cy="154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950">
                <a:solidFill>
                  <a:srgbClr val="000000"/>
                </a:solidFill>
                <a:effectLst/>
                <a:latin typeface="Arial" panose="020B0604020202020204" pitchFamily="34" charset="0"/>
                <a:ea typeface="Times New Roman" panose="02020603050405020304" pitchFamily="18" charset="0"/>
                <a:cs typeface="Arial" panose="020B0604020202020204" pitchFamily="34" charset="0"/>
              </a:rPr>
              <a:t>Appoint</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cxnSp macro="">
        <xdr:nvCxnSpPr>
          <xdr:cNvPr id="435" name="Line 1662">
            <a:extLst>
              <a:ext uri="{FF2B5EF4-FFF2-40B4-BE49-F238E27FC236}">
                <a16:creationId xmlns:a16="http://schemas.microsoft.com/office/drawing/2014/main" xmlns="" id="{00000000-0008-0000-0B00-0000B3010000}"/>
              </a:ext>
            </a:extLst>
          </xdr:cNvPr>
          <xdr:cNvCxnSpPr/>
        </xdr:nvCxnSpPr>
        <xdr:spPr bwMode="auto">
          <a:xfrm>
            <a:off x="4686300" y="8890"/>
            <a:ext cx="0" cy="326834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436" name="Rectangle 435">
            <a:extLst>
              <a:ext uri="{FF2B5EF4-FFF2-40B4-BE49-F238E27FC236}">
                <a16:creationId xmlns:a16="http://schemas.microsoft.com/office/drawing/2014/main" xmlns="" id="{00000000-0008-0000-0B00-0000B4010000}"/>
              </a:ext>
            </a:extLst>
          </xdr:cNvPr>
          <xdr:cNvSpPr>
            <a:spLocks noChangeArrowheads="1"/>
          </xdr:cNvSpPr>
        </xdr:nvSpPr>
        <xdr:spPr bwMode="auto">
          <a:xfrm>
            <a:off x="685800" y="2180590"/>
            <a:ext cx="1217930" cy="11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Compteur gaz</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7" name="Freeform 1664">
            <a:extLst>
              <a:ext uri="{FF2B5EF4-FFF2-40B4-BE49-F238E27FC236}">
                <a16:creationId xmlns:a16="http://schemas.microsoft.com/office/drawing/2014/main" xmlns="" id="{00000000-0008-0000-0B00-0000B5010000}"/>
              </a:ext>
            </a:extLst>
          </xdr:cNvPr>
          <xdr:cNvSpPr>
            <a:spLocks/>
          </xdr:cNvSpPr>
        </xdr:nvSpPr>
        <xdr:spPr bwMode="auto">
          <a:xfrm>
            <a:off x="2638425" y="2802255"/>
            <a:ext cx="447675" cy="178435"/>
          </a:xfrm>
          <a:custGeom>
            <a:avLst/>
            <a:gdLst>
              <a:gd name="T0" fmla="*/ 175 w 877"/>
              <a:gd name="T1" fmla="*/ 351 h 351"/>
              <a:gd name="T2" fmla="*/ 701 w 877"/>
              <a:gd name="T3" fmla="*/ 351 h 351"/>
              <a:gd name="T4" fmla="*/ 877 w 877"/>
              <a:gd name="T5" fmla="*/ 176 h 351"/>
              <a:gd name="T6" fmla="*/ 701 w 877"/>
              <a:gd name="T7" fmla="*/ 0 h 351"/>
              <a:gd name="T8" fmla="*/ 701 w 877"/>
              <a:gd name="T9" fmla="*/ 0 h 351"/>
              <a:gd name="T10" fmla="*/ 701 w 877"/>
              <a:gd name="T11" fmla="*/ 0 h 351"/>
              <a:gd name="T12" fmla="*/ 175 w 877"/>
              <a:gd name="T13" fmla="*/ 0 h 351"/>
              <a:gd name="T14" fmla="*/ 0 w 877"/>
              <a:gd name="T15" fmla="*/ 176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3"/>
                  <a:pt x="877" y="176"/>
                </a:cubicBezTo>
                <a:cubicBezTo>
                  <a:pt x="877" y="79"/>
                  <a:pt x="798" y="0"/>
                  <a:pt x="701" y="0"/>
                </a:cubicBezTo>
                <a:cubicBezTo>
                  <a:pt x="701" y="0"/>
                  <a:pt x="701" y="0"/>
                  <a:pt x="701" y="0"/>
                </a:cubicBezTo>
                <a:lnTo>
                  <a:pt x="701" y="0"/>
                </a:lnTo>
                <a:lnTo>
                  <a:pt x="175" y="0"/>
                </a:lnTo>
                <a:cubicBezTo>
                  <a:pt x="78" y="0"/>
                  <a:pt x="0" y="79"/>
                  <a:pt x="0" y="176"/>
                </a:cubicBezTo>
                <a:cubicBezTo>
                  <a:pt x="0" y="273"/>
                  <a:pt x="78" y="351"/>
                  <a:pt x="175" y="351"/>
                </a:cubicBezTo>
                <a:close/>
              </a:path>
            </a:pathLst>
          </a:custGeom>
          <a:noFill/>
          <a:ln w="1587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sp macro="" textlink="">
        <xdr:nvSpPr>
          <xdr:cNvPr id="438" name="Rectangle 437">
            <a:extLst>
              <a:ext uri="{FF2B5EF4-FFF2-40B4-BE49-F238E27FC236}">
                <a16:creationId xmlns:a16="http://schemas.microsoft.com/office/drawing/2014/main" xmlns="" id="{00000000-0008-0000-0B00-0000B6010000}"/>
              </a:ext>
            </a:extLst>
          </xdr:cNvPr>
          <xdr:cNvSpPr>
            <a:spLocks noChangeArrowheads="1"/>
          </xdr:cNvSpPr>
        </xdr:nvSpPr>
        <xdr:spPr bwMode="auto">
          <a:xfrm>
            <a:off x="228600" y="2523490"/>
            <a:ext cx="33083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sp macro="" textlink="">
        <xdr:nvSpPr>
          <xdr:cNvPr id="439" name="Freeform 1666">
            <a:extLst>
              <a:ext uri="{FF2B5EF4-FFF2-40B4-BE49-F238E27FC236}">
                <a16:creationId xmlns:a16="http://schemas.microsoft.com/office/drawing/2014/main" xmlns="" id="{00000000-0008-0000-0B00-0000B7010000}"/>
              </a:ext>
            </a:extLst>
          </xdr:cNvPr>
          <xdr:cNvSpPr>
            <a:spLocks/>
          </xdr:cNvSpPr>
        </xdr:nvSpPr>
        <xdr:spPr bwMode="auto">
          <a:xfrm>
            <a:off x="2993390" y="8890"/>
            <a:ext cx="447040" cy="177800"/>
          </a:xfrm>
          <a:custGeom>
            <a:avLst/>
            <a:gdLst>
              <a:gd name="T0" fmla="*/ 175 w 877"/>
              <a:gd name="T1" fmla="*/ 351 h 351"/>
              <a:gd name="T2" fmla="*/ 701 w 877"/>
              <a:gd name="T3" fmla="*/ 351 h 351"/>
              <a:gd name="T4" fmla="*/ 877 w 877"/>
              <a:gd name="T5" fmla="*/ 175 h 351"/>
              <a:gd name="T6" fmla="*/ 701 w 877"/>
              <a:gd name="T7" fmla="*/ 0 h 351"/>
              <a:gd name="T8" fmla="*/ 701 w 877"/>
              <a:gd name="T9" fmla="*/ 0 h 351"/>
              <a:gd name="T10" fmla="*/ 701 w 877"/>
              <a:gd name="T11" fmla="*/ 0 h 351"/>
              <a:gd name="T12" fmla="*/ 175 w 877"/>
              <a:gd name="T13" fmla="*/ 0 h 351"/>
              <a:gd name="T14" fmla="*/ 0 w 877"/>
              <a:gd name="T15" fmla="*/ 175 h 351"/>
              <a:gd name="T16" fmla="*/ 175 w 877"/>
              <a:gd name="T17"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77" h="351">
                <a:moveTo>
                  <a:pt x="175" y="351"/>
                </a:moveTo>
                <a:lnTo>
                  <a:pt x="701" y="351"/>
                </a:lnTo>
                <a:cubicBezTo>
                  <a:pt x="798" y="351"/>
                  <a:pt x="877" y="272"/>
                  <a:pt x="877" y="175"/>
                </a:cubicBezTo>
                <a:cubicBezTo>
                  <a:pt x="877" y="78"/>
                  <a:pt x="798" y="0"/>
                  <a:pt x="701" y="0"/>
                </a:cubicBezTo>
                <a:cubicBezTo>
                  <a:pt x="701" y="0"/>
                  <a:pt x="701" y="0"/>
                  <a:pt x="701" y="0"/>
                </a:cubicBezTo>
                <a:lnTo>
                  <a:pt x="701" y="0"/>
                </a:lnTo>
                <a:lnTo>
                  <a:pt x="175" y="0"/>
                </a:lnTo>
                <a:cubicBezTo>
                  <a:pt x="78" y="0"/>
                  <a:pt x="0" y="78"/>
                  <a:pt x="0" y="175"/>
                </a:cubicBezTo>
                <a:cubicBezTo>
                  <a:pt x="0" y="272"/>
                  <a:pt x="78" y="351"/>
                  <a:pt x="175" y="351"/>
                </a:cubicBezTo>
                <a:close/>
              </a:path>
            </a:pathLst>
          </a:custGeom>
          <a:noFill/>
          <a:ln w="17463" cap="rnd">
            <a:solidFill>
              <a:srgbClr val="0070C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cxnSp macro="">
        <xdr:nvCxnSpPr>
          <xdr:cNvPr id="440" name="Line 1667">
            <a:extLst>
              <a:ext uri="{FF2B5EF4-FFF2-40B4-BE49-F238E27FC236}">
                <a16:creationId xmlns:a16="http://schemas.microsoft.com/office/drawing/2014/main" xmlns="" id="{00000000-0008-0000-0B00-0000B8010000}"/>
              </a:ext>
            </a:extLst>
          </xdr:cNvPr>
          <xdr:cNvCxnSpPr/>
        </xdr:nvCxnSpPr>
        <xdr:spPr bwMode="auto">
          <a:xfrm>
            <a:off x="3221990" y="186690"/>
            <a:ext cx="1270" cy="158115"/>
          </a:xfrm>
          <a:prstGeom prst="line">
            <a:avLst/>
          </a:prstGeom>
          <a:noFill/>
          <a:ln w="17463" cap="rnd">
            <a:solidFill>
              <a:srgbClr val="0070C0"/>
            </a:solidFill>
            <a:round/>
            <a:headEnd/>
            <a:tailEnd/>
          </a:ln>
          <a:extLst>
            <a:ext uri="{909E8E84-426E-40DD-AFC4-6F175D3DCCD1}">
              <a14:hiddenFill xmlns:a14="http://schemas.microsoft.com/office/drawing/2010/main">
                <a:noFill/>
              </a14:hiddenFill>
            </a:ext>
          </a:extLst>
        </xdr:spPr>
      </xdr:cxnSp>
      <xdr:sp macro="" textlink="">
        <xdr:nvSpPr>
          <xdr:cNvPr id="441" name="Rectangle 440">
            <a:extLst>
              <a:ext uri="{FF2B5EF4-FFF2-40B4-BE49-F238E27FC236}">
                <a16:creationId xmlns:a16="http://schemas.microsoft.com/office/drawing/2014/main" xmlns="" id="{00000000-0008-0000-0B00-0000B9010000}"/>
              </a:ext>
            </a:extLst>
          </xdr:cNvPr>
          <xdr:cNvSpPr>
            <a:spLocks noChangeArrowheads="1"/>
          </xdr:cNvSpPr>
        </xdr:nvSpPr>
        <xdr:spPr bwMode="auto">
          <a:xfrm>
            <a:off x="3107690" y="8890"/>
            <a:ext cx="377825" cy="133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fr-FR" sz="850">
                <a:solidFill>
                  <a:srgbClr val="000000"/>
                </a:solidFill>
                <a:effectLst/>
                <a:latin typeface="Arial" panose="020B0604020202020204" pitchFamily="34" charset="0"/>
                <a:ea typeface="Times New Roman" panose="02020603050405020304" pitchFamily="18" charset="0"/>
                <a:cs typeface="Arial" panose="020B0604020202020204" pitchFamily="34" charset="0"/>
              </a:rPr>
              <a:t>CEél</a:t>
            </a:r>
            <a:endParaRPr lang="fr-FR" sz="1000">
              <a:solidFill>
                <a:srgbClr val="003399"/>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grpSp>
    <xdr:clientData/>
  </xdr:twoCellAnchor>
  <xdr:twoCellAnchor editAs="oneCell">
    <xdr:from>
      <xdr:col>4</xdr:col>
      <xdr:colOff>27214</xdr:colOff>
      <xdr:row>77</xdr:row>
      <xdr:rowOff>98251</xdr:rowOff>
    </xdr:from>
    <xdr:to>
      <xdr:col>13</xdr:col>
      <xdr:colOff>122463</xdr:colOff>
      <xdr:row>102</xdr:row>
      <xdr:rowOff>127130</xdr:rowOff>
    </xdr:to>
    <xdr:pic>
      <xdr:nvPicPr>
        <xdr:cNvPr id="580" name="Image 579">
          <a:extLst>
            <a:ext uri="{FF2B5EF4-FFF2-40B4-BE49-F238E27FC236}">
              <a16:creationId xmlns:a16="http://schemas.microsoft.com/office/drawing/2014/main" xmlns="" id="{00000000-0008-0000-0B00-000044020000}"/>
            </a:ext>
          </a:extLst>
        </xdr:cNvPr>
        <xdr:cNvPicPr>
          <a:picLocks noChangeAspect="1"/>
        </xdr:cNvPicPr>
      </xdr:nvPicPr>
      <xdr:blipFill>
        <a:blip xmlns:r="http://schemas.openxmlformats.org/officeDocument/2006/relationships" r:embed="rId1"/>
        <a:stretch>
          <a:fillRect/>
        </a:stretch>
      </xdr:blipFill>
      <xdr:spPr>
        <a:xfrm>
          <a:off x="3075214" y="14930037"/>
          <a:ext cx="6953249" cy="47913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99390</xdr:colOff>
      <xdr:row>1</xdr:row>
      <xdr:rowOff>30030</xdr:rowOff>
    </xdr:from>
    <xdr:to>
      <xdr:col>8</xdr:col>
      <xdr:colOff>778598</xdr:colOff>
      <xdr:row>6</xdr:row>
      <xdr:rowOff>190500</xdr:rowOff>
    </xdr:to>
    <xdr:pic>
      <xdr:nvPicPr>
        <xdr:cNvPr id="5" name="Image 4">
          <a:extLst>
            <a:ext uri="{FF2B5EF4-FFF2-40B4-BE49-F238E27FC236}">
              <a16:creationId xmlns:a16="http://schemas.microsoft.com/office/drawing/2014/main" xmlns="" id="{00000000-0008-0000-0C00-000005000000}"/>
            </a:ext>
          </a:extLst>
        </xdr:cNvPr>
        <xdr:cNvPicPr>
          <a:picLocks noChangeAspect="1"/>
        </xdr:cNvPicPr>
      </xdr:nvPicPr>
      <xdr:blipFill rotWithShape="1">
        <a:blip xmlns:r="http://schemas.openxmlformats.org/officeDocument/2006/relationships" r:embed="rId1"/>
        <a:srcRect l="7818" t="8205" r="6878" b="7738"/>
        <a:stretch/>
      </xdr:blipFill>
      <xdr:spPr>
        <a:xfrm>
          <a:off x="6162260" y="402747"/>
          <a:ext cx="1764229" cy="11295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1390650</xdr:colOff>
      <xdr:row>5</xdr:row>
      <xdr:rowOff>76200</xdr:rowOff>
    </xdr:from>
    <xdr:to>
      <xdr:col>6</xdr:col>
      <xdr:colOff>762000</xdr:colOff>
      <xdr:row>12</xdr:row>
      <xdr:rowOff>104775</xdr:rowOff>
    </xdr:to>
    <xdr:pic>
      <xdr:nvPicPr>
        <xdr:cNvPr id="2" name="Picture 963" descr="Ademe-Fonds-chaleur">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16668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5</xdr:row>
      <xdr:rowOff>9525</xdr:rowOff>
    </xdr:from>
    <xdr:to>
      <xdr:col>6</xdr:col>
      <xdr:colOff>2038350</xdr:colOff>
      <xdr:row>12</xdr:row>
      <xdr:rowOff>133350</xdr:rowOff>
    </xdr:to>
    <xdr:pic>
      <xdr:nvPicPr>
        <xdr:cNvPr id="3" name="Picture 8">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50" y="1600200"/>
          <a:ext cx="151447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47625</xdr:colOff>
      <xdr:row>4</xdr:row>
      <xdr:rowOff>152400</xdr:rowOff>
    </xdr:from>
    <xdr:to>
      <xdr:col>5</xdr:col>
      <xdr:colOff>28575</xdr:colOff>
      <xdr:row>13</xdr:row>
      <xdr:rowOff>47625</xdr:rowOff>
    </xdr:to>
    <xdr:pic>
      <xdr:nvPicPr>
        <xdr:cNvPr id="4" name="Picture 962" descr="fonds_chaleur_renouvelable">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48450" y="1571625"/>
          <a:ext cx="14192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fayen/Downloads/AF%20fonds%20chaleur%20202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SERVICES\SFAB\ECHANGES\BOIS%20ENERGIE\Fonds%20Chaleur\M&#233;thode%20FC\2020\Tableur\Tableur_biomasse_v2020%20VF4.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20ZIP\A%20FAIRE\OUTILS\Fiches%20projet\G&#233;othermie_notes_r&#233;un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P-T_ENERGETIQUE\Th-EnR\07-COT_EnR\stage2020\03%20-%20Outils\03%20-%20Fiches%20projets\00%20-%20Fiches%202020\Biomasse\a_diffuser_pour_retours\fiche%20projet%20biomasse%20sans%20r&#233;seau%20de%20chaleur%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SERVICES\SRER\ECHANGES\ECHANGES_MARIE%20GUEHL\01-MAJ%20tableur%20g&#233;othermie\Tableur%20Fonds%20Chaleur%202018%20g&#233;othermie%20ancienne%20versio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eme.intra\regions$\AUV-RAL\P-T_ENERGETIQUE\Th-EnR\07-Contrats_Chaleur_Renouvelable\Outils%20pour%20contrats%20sign&#233;s\Fiches%20pour%20comit&#233;%20d'engagement\bois%20+%20reseau\MAJ%20fev23-fiche%20projet%20biomasse%20avec%20et%20sans%20r&#233;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demecloud-my.sharepoint.com/Users/vayssief/Downloads/tableur_analyse_eco_geothermie_de_surface_v0_2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ayssief/AppData/Local/Microsoft/Windows/INetCache/Content.Outlook/NCAFY2V3/AF_contrat_dev_enr_2020_deverouill&#233;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demecloud-my.sharepoint.com/Users/vayssief/AppData/Local/Microsoft/Windows/INetCache/Content.Outlook/NCAFY2V3/AF_contrat_dev_enr_2020_deverouill&#233;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ur-donnees\donnees\P-T_ENERGETIQUE\Th-EnR\07-COT_EnR\stage2020\03%20-%20Outils\03%20-%20Fiches%20projets\Fiches%202020\Biomasse\Fiche%20PAC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ur-donnees\donnees\P-T_ENERGETIQUE\Th-EnR\07-COT_EnR\stage2020\03%20-%20Outils\03%20-%20Fiches%20projets\00%20-%20Fiches%202020\Biomasse\a_diffuser_pour_retours\fiche%20projet%20biomasse%20sans%20r&#233;seau%20de%20chaleur%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me.intra\regions$\P-T_ENERGETIQUE\Th-EnR\07-COT_EnR\stage2020\03%20-%20Outils\03%20-%20Fiches%20projets\Fiches%202020\Biomasse\Fiche%20PA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List"/>
      <sheetName val="AF fonds chaleur"/>
      <sheetName val="ERD"/>
      <sheetName val="Attestation obj"/>
      <sheetName val="Attestation DN"/>
    </sheetNames>
    <sheetDataSet>
      <sheetData sheetId="0">
        <row r="4">
          <cell r="K4" t="str">
            <v>Economique-Petite-Métropole</v>
          </cell>
          <cell r="L4">
            <v>0.65</v>
          </cell>
          <cell r="M4">
            <v>0.65</v>
          </cell>
          <cell r="N4">
            <v>0.65</v>
          </cell>
          <cell r="O4">
            <v>0.5</v>
          </cell>
          <cell r="AA4" t="str">
            <v>Economique-Petite-Métropole</v>
          </cell>
          <cell r="AB4">
            <v>0.65</v>
          </cell>
          <cell r="AC4">
            <v>0.65</v>
          </cell>
          <cell r="AD4">
            <v>0.65</v>
          </cell>
          <cell r="AE4">
            <v>0.5</v>
          </cell>
        </row>
        <row r="5">
          <cell r="K5" t="str">
            <v>Economique-Petite-Corse</v>
          </cell>
          <cell r="L5">
            <v>0.70000000000000007</v>
          </cell>
          <cell r="M5">
            <v>0.70000000000000007</v>
          </cell>
          <cell r="N5">
            <v>0.70000000000000007</v>
          </cell>
          <cell r="O5">
            <v>0.55000000000000004</v>
          </cell>
          <cell r="AA5" t="str">
            <v>Economique-Petite-Corse</v>
          </cell>
          <cell r="AB5">
            <v>0.70000000000000007</v>
          </cell>
          <cell r="AC5">
            <v>0.70000000000000007</v>
          </cell>
          <cell r="AD5">
            <v>0.70000000000000007</v>
          </cell>
          <cell r="AE5">
            <v>0.55000000000000004</v>
          </cell>
        </row>
        <row r="6">
          <cell r="K6" t="str">
            <v>Economique-Petite-Zone AFR</v>
          </cell>
          <cell r="L6">
            <v>0.70000000000000007</v>
          </cell>
          <cell r="M6">
            <v>0.70000000000000007</v>
          </cell>
          <cell r="N6">
            <v>0.70000000000000007</v>
          </cell>
          <cell r="O6">
            <v>0.55000000000000004</v>
          </cell>
          <cell r="AA6" t="str">
            <v>Economique-Petite-Zone AFR</v>
          </cell>
          <cell r="AB6">
            <v>0.70000000000000007</v>
          </cell>
          <cell r="AC6">
            <v>0.70000000000000007</v>
          </cell>
          <cell r="AD6">
            <v>0.70000000000000007</v>
          </cell>
          <cell r="AE6">
            <v>0.55000000000000004</v>
          </cell>
        </row>
        <row r="7">
          <cell r="K7" t="str">
            <v>Economique-Petite-DROM-COM</v>
          </cell>
          <cell r="L7">
            <v>0.8</v>
          </cell>
          <cell r="M7">
            <v>0.8</v>
          </cell>
          <cell r="N7">
            <v>0.8</v>
          </cell>
          <cell r="O7">
            <v>0.65</v>
          </cell>
          <cell r="AA7" t="str">
            <v>Economique-Petite-DROM-COM</v>
          </cell>
          <cell r="AB7">
            <v>0.8</v>
          </cell>
          <cell r="AC7">
            <v>0.8</v>
          </cell>
          <cell r="AD7">
            <v>0.8</v>
          </cell>
          <cell r="AE7">
            <v>0.65</v>
          </cell>
        </row>
        <row r="9">
          <cell r="K9" t="str">
            <v>Economique-Moyenne-Métropole</v>
          </cell>
          <cell r="L9">
            <v>0.55000000000000004</v>
          </cell>
          <cell r="M9">
            <v>0.55000000000000004</v>
          </cell>
          <cell r="N9">
            <v>0.55000000000000004</v>
          </cell>
          <cell r="O9">
            <v>0.4</v>
          </cell>
          <cell r="AA9" t="str">
            <v>Economique-Moyenne-Métropole</v>
          </cell>
          <cell r="AB9">
            <v>0.55000000000000004</v>
          </cell>
          <cell r="AC9">
            <v>0.55000000000000004</v>
          </cell>
          <cell r="AD9">
            <v>0.55000000000000004</v>
          </cell>
          <cell r="AE9">
            <v>0.4</v>
          </cell>
        </row>
        <row r="10">
          <cell r="K10" t="str">
            <v>Economique-Moyenne-Corse</v>
          </cell>
          <cell r="L10">
            <v>0.60000000000000009</v>
          </cell>
          <cell r="M10">
            <v>0.60000000000000009</v>
          </cell>
          <cell r="N10">
            <v>0.60000000000000009</v>
          </cell>
          <cell r="O10">
            <v>0.45</v>
          </cell>
          <cell r="AA10" t="str">
            <v>Economique-Moyenne-Corse</v>
          </cell>
          <cell r="AB10">
            <v>0.60000000000000009</v>
          </cell>
          <cell r="AC10">
            <v>0.60000000000000009</v>
          </cell>
          <cell r="AD10">
            <v>0.60000000000000009</v>
          </cell>
          <cell r="AE10">
            <v>0.45</v>
          </cell>
        </row>
        <row r="11">
          <cell r="K11" t="str">
            <v>Economique-Moyenne-Zone AFR</v>
          </cell>
          <cell r="L11">
            <v>0.60000000000000009</v>
          </cell>
          <cell r="M11">
            <v>0.60000000000000009</v>
          </cell>
          <cell r="N11">
            <v>0.60000000000000009</v>
          </cell>
          <cell r="O11">
            <v>0.45</v>
          </cell>
          <cell r="AA11" t="str">
            <v>Economique-Moyenne-Zone AFR</v>
          </cell>
          <cell r="AB11">
            <v>0.60000000000000009</v>
          </cell>
          <cell r="AC11">
            <v>0.60000000000000009</v>
          </cell>
          <cell r="AD11">
            <v>0.60000000000000009</v>
          </cell>
          <cell r="AE11">
            <v>0.45</v>
          </cell>
        </row>
        <row r="12">
          <cell r="K12" t="str">
            <v>Economique-Moyenne-DROM-COM</v>
          </cell>
          <cell r="L12">
            <v>0.70000000000000007</v>
          </cell>
          <cell r="M12">
            <v>0.70000000000000007</v>
          </cell>
          <cell r="N12">
            <v>0.70000000000000007</v>
          </cell>
          <cell r="O12">
            <v>0.55000000000000004</v>
          </cell>
          <cell r="AA12" t="str">
            <v>Economique-Moyenne-DROM-COM</v>
          </cell>
          <cell r="AB12">
            <v>0.70000000000000007</v>
          </cell>
          <cell r="AC12">
            <v>0.70000000000000007</v>
          </cell>
          <cell r="AD12">
            <v>0.70000000000000007</v>
          </cell>
          <cell r="AE12">
            <v>0.55000000000000004</v>
          </cell>
        </row>
        <row r="13">
          <cell r="K13" t="str">
            <v>Economique-Grande-Métropole</v>
          </cell>
          <cell r="L13">
            <v>0.45</v>
          </cell>
          <cell r="M13">
            <v>0.45</v>
          </cell>
          <cell r="N13">
            <v>0.45</v>
          </cell>
          <cell r="O13">
            <v>0.3</v>
          </cell>
          <cell r="AA13" t="str">
            <v>Economique-Grande-Métropole</v>
          </cell>
          <cell r="AB13">
            <v>0.45</v>
          </cell>
          <cell r="AC13">
            <v>0.45</v>
          </cell>
          <cell r="AD13">
            <v>0.45</v>
          </cell>
          <cell r="AE13">
            <v>0.3</v>
          </cell>
        </row>
        <row r="14">
          <cell r="K14" t="str">
            <v>Economique-Grande-Corse</v>
          </cell>
          <cell r="L14">
            <v>0.5</v>
          </cell>
          <cell r="M14">
            <v>0.5</v>
          </cell>
          <cell r="N14">
            <v>0.5</v>
          </cell>
          <cell r="O14">
            <v>0.35</v>
          </cell>
          <cell r="AA14" t="str">
            <v>Economique-Grande-Corse</v>
          </cell>
          <cell r="AB14">
            <v>0.5</v>
          </cell>
          <cell r="AC14">
            <v>0.5</v>
          </cell>
          <cell r="AD14">
            <v>0.5</v>
          </cell>
          <cell r="AE14">
            <v>0.35</v>
          </cell>
        </row>
        <row r="15">
          <cell r="K15" t="str">
            <v>Economique-Grande-Zone AFR</v>
          </cell>
          <cell r="L15">
            <v>0.5</v>
          </cell>
          <cell r="M15">
            <v>0.5</v>
          </cell>
          <cell r="N15">
            <v>0.5</v>
          </cell>
          <cell r="O15">
            <v>0.35</v>
          </cell>
          <cell r="AA15" t="str">
            <v>Economique-Grande-Zone AFR</v>
          </cell>
          <cell r="AB15">
            <v>0.5</v>
          </cell>
          <cell r="AC15">
            <v>0.5</v>
          </cell>
          <cell r="AD15">
            <v>0.5</v>
          </cell>
          <cell r="AE15">
            <v>0.35</v>
          </cell>
        </row>
        <row r="16">
          <cell r="K16" t="str">
            <v>Economique-Grande-DROM-COM</v>
          </cell>
          <cell r="L16">
            <v>0.6</v>
          </cell>
          <cell r="M16">
            <v>0.6</v>
          </cell>
          <cell r="N16">
            <v>0.6</v>
          </cell>
          <cell r="O16">
            <v>0.44999999999999996</v>
          </cell>
          <cell r="AA16" t="str">
            <v>Economique-Grande-DROM-COM</v>
          </cell>
          <cell r="AB16">
            <v>0.6</v>
          </cell>
          <cell r="AC16">
            <v>0.6</v>
          </cell>
          <cell r="AD16">
            <v>0.6</v>
          </cell>
          <cell r="AE16">
            <v>0.44999999999999996</v>
          </cell>
        </row>
        <row r="17">
          <cell r="J17" t="str">
            <v>Métropole</v>
          </cell>
          <cell r="L17">
            <v>0.65</v>
          </cell>
          <cell r="M17">
            <v>0.65</v>
          </cell>
          <cell r="N17">
            <v>0.8</v>
          </cell>
        </row>
        <row r="18">
          <cell r="J18" t="str">
            <v>Corse</v>
          </cell>
          <cell r="L18">
            <v>0.70000000000000007</v>
          </cell>
          <cell r="M18">
            <v>0.70000000000000007</v>
          </cell>
          <cell r="N18">
            <v>0.8</v>
          </cell>
        </row>
        <row r="19">
          <cell r="J19" t="str">
            <v>Zone AFR</v>
          </cell>
          <cell r="L19">
            <v>0.70000000000000007</v>
          </cell>
          <cell r="M19">
            <v>0.70000000000000007</v>
          </cell>
          <cell r="N19">
            <v>0.8</v>
          </cell>
        </row>
        <row r="20">
          <cell r="J20" t="str">
            <v>DROM-COM</v>
          </cell>
          <cell r="L20">
            <v>0.8</v>
          </cell>
          <cell r="M20">
            <v>0.8</v>
          </cell>
          <cell r="N20">
            <v>1</v>
          </cell>
        </row>
        <row r="21">
          <cell r="S21" t="str">
            <v>collectif / tertiaire</v>
          </cell>
          <cell r="T21" t="str">
            <v>industrie / agricole</v>
          </cell>
        </row>
        <row r="22">
          <cell r="S22">
            <v>21</v>
          </cell>
          <cell r="T22">
            <v>12</v>
          </cell>
        </row>
        <row r="23">
          <cell r="S23">
            <v>10</v>
          </cell>
          <cell r="T23">
            <v>6</v>
          </cell>
        </row>
        <row r="24">
          <cell r="S24">
            <v>5</v>
          </cell>
          <cell r="T24">
            <v>3</v>
          </cell>
        </row>
        <row r="25">
          <cell r="S25">
            <v>4</v>
          </cell>
          <cell r="T25">
            <v>1</v>
          </cell>
        </row>
        <row r="28">
          <cell r="S28" t="str">
            <v>collectif / tertiaire</v>
          </cell>
          <cell r="T28" t="str">
            <v>industrie / agricole</v>
          </cell>
        </row>
        <row r="29">
          <cell r="S29">
            <v>9</v>
          </cell>
          <cell r="T29">
            <v>5</v>
          </cell>
        </row>
        <row r="30">
          <cell r="S30">
            <v>4</v>
          </cell>
          <cell r="T30">
            <v>2.5</v>
          </cell>
        </row>
        <row r="31">
          <cell r="S31">
            <v>2</v>
          </cell>
          <cell r="T31">
            <v>1</v>
          </cell>
        </row>
        <row r="32">
          <cell r="S32">
            <v>1.5</v>
          </cell>
          <cell r="T32">
            <v>0.5</v>
          </cell>
        </row>
      </sheetData>
      <sheetData sheetId="1">
        <row r="2">
          <cell r="A2" t="str">
            <v>Economique</v>
          </cell>
          <cell r="D2" t="str">
            <v>Forfait</v>
          </cell>
          <cell r="E2" t="str">
            <v>Oui</v>
          </cell>
        </row>
        <row r="3">
          <cell r="A3" t="str">
            <v>Non économique</v>
          </cell>
          <cell r="D3" t="str">
            <v>Analyse économique</v>
          </cell>
        </row>
      </sheetData>
      <sheetData sheetId="2">
        <row r="16">
          <cell r="D16" t="str">
            <v>Non économique</v>
          </cell>
        </row>
      </sheetData>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caractéristiques projet"/>
      <sheetName val="Résultats"/>
      <sheetName val="solution biomasse"/>
      <sheetName val="solution comparaison"/>
      <sheetName val="Plafonnements"/>
      <sheetName val="TEC Production"/>
      <sheetName val="TEC Réseau"/>
      <sheetName val="Evolution couts"/>
      <sheetName val="Détails sous-stations"/>
      <sheetName val="Hypothèses à retenir pour 2020"/>
      <sheetName val="menu deroulant"/>
      <sheetName val="evolution CCE"/>
      <sheetName val="Feuil1"/>
    </sheetNames>
    <sheetDataSet>
      <sheetData sheetId="0" refreshError="1"/>
      <sheetData sheetId="1" refreshError="1">
        <row r="10">
          <cell r="D10" t="str">
            <v>Concurrentiel</v>
          </cell>
        </row>
        <row r="19">
          <cell r="D19">
            <v>3500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Biomasse sans réseau V1"/>
      <sheetName val="Géothermie"/>
      <sheetName val="menus"/>
      <sheetName val="Biomasse avec réseau de chaleur"/>
      <sheetName val="Solaire thermique"/>
      <sheetName val="Questions générales"/>
      <sheetName val="Notes ST"/>
      <sheetName val="Biomasse sans réseau VO "/>
      <sheetName val="Bibliothèques d'images"/>
    </sheetNames>
    <sheetDataSet>
      <sheetData sheetId="0">
        <row r="9">
          <cell r="A9" t="str">
            <v>chaufferie bois sur le futur bâtiment industriel de la brasserie du Pilat à Saint Julien Molin Molette</v>
          </cell>
        </row>
      </sheetData>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s biomass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Hypothèses coûts"/>
      <sheetName val="PAC sur nappe"/>
      <sheetName val="PAC sur champ de sondes"/>
      <sheetName val="PAC sur eaux usées"/>
      <sheetName val="PAC sur eau de mer"/>
    </sheetNames>
    <sheetDataSet>
      <sheetData sheetId="0" refreshError="1"/>
      <sheetData sheetId="1">
        <row r="22">
          <cell r="C22">
            <v>3.8199999999999998E-2</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Analyse"/>
      <sheetName val="paramètres entrée"/>
      <sheetName val="fiche synth EF"/>
      <sheetName val="conso_batiments"/>
      <sheetName val="R23"/>
      <sheetName val="Bonus_CPER"/>
    </sheetNames>
    <sheetDataSet>
      <sheetData sheetId="0"/>
      <sheetData sheetId="1"/>
      <sheetData sheetId="2"/>
      <sheetData sheetId="3">
        <row r="56">
          <cell r="B56">
            <v>0</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Accueil et légendes"/>
      <sheetName val="Fiche projet biomasse"/>
      <sheetName val="RECAP"/>
      <sheetName val="Aide ratios"/>
      <sheetName val="Simulation FC"/>
      <sheetName val="menus biomasse"/>
      <sheetName val="Aide qualité"/>
      <sheetName val="Valeurs de reference"/>
    </sheetNames>
    <sheetDataSet>
      <sheetData sheetId="0"/>
      <sheetData sheetId="1"/>
      <sheetData sheetId="2">
        <row r="188">
          <cell r="G188" t="str">
            <v>Pas de réseau de chaleur</v>
          </cell>
        </row>
        <row r="228">
          <cell r="H228" t="str">
            <v>non concerné</v>
          </cell>
        </row>
        <row r="229">
          <cell r="H229" t="str">
            <v>non concerné</v>
          </cell>
        </row>
        <row r="234">
          <cell r="E234">
            <v>0</v>
          </cell>
        </row>
        <row r="246">
          <cell r="J246">
            <v>0</v>
          </cell>
        </row>
      </sheetData>
      <sheetData sheetId="3"/>
      <sheetData sheetId="4"/>
      <sheetData sheetId="5">
        <row r="8">
          <cell r="E8">
            <v>0</v>
          </cell>
        </row>
        <row r="17">
          <cell r="E17">
            <v>0</v>
          </cell>
        </row>
        <row r="24">
          <cell r="E24">
            <v>0</v>
          </cell>
        </row>
      </sheetData>
      <sheetData sheetId="6">
        <row r="7">
          <cell r="Y7" t="str">
            <v>Collectif ou tertiaire</v>
          </cell>
        </row>
        <row r="8">
          <cell r="Y8" t="str">
            <v>Entreprise ou industrie</v>
          </cell>
        </row>
      </sheetData>
      <sheetData sheetId="7">
        <row r="16">
          <cell r="F16" t="str">
            <v/>
          </cell>
        </row>
        <row r="17">
          <cell r="F17">
            <v>0</v>
          </cell>
        </row>
        <row r="19">
          <cell r="F19">
            <v>0</v>
          </cell>
        </row>
        <row r="23">
          <cell r="F23">
            <v>0</v>
          </cell>
        </row>
        <row r="63">
          <cell r="F63" t="str">
            <v>Saisir la valeur</v>
          </cell>
        </row>
        <row r="65">
          <cell r="F65" t="str">
            <v/>
          </cell>
        </row>
      </sheetData>
      <sheetData sheetId="8">
        <row r="41">
          <cell r="F41">
            <v>70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Hypothèses coûts"/>
      <sheetName val="PAC sur nappe"/>
      <sheetName val="PAC sur champ de sondes"/>
      <sheetName val="PAC sur eaux usées"/>
      <sheetName val="PAC sur eau de mer"/>
    </sheetNames>
    <sheetDataSet>
      <sheetData sheetId="0"/>
      <sheetData sheetId="1">
        <row r="6">
          <cell r="C6">
            <v>54.602164047455155</v>
          </cell>
          <cell r="D6">
            <v>45.072952510419256</v>
          </cell>
          <cell r="E6">
            <v>38.585674633375362</v>
          </cell>
          <cell r="F6">
            <v>27.606365688529646</v>
          </cell>
          <cell r="G6">
            <v>20.432199565681103</v>
          </cell>
        </row>
        <row r="7">
          <cell r="C7">
            <v>62.441780952380959</v>
          </cell>
          <cell r="D7">
            <v>54.451780952380965</v>
          </cell>
          <cell r="E7">
            <v>47.477336507936513</v>
          </cell>
          <cell r="F7">
            <v>38.859558730158717</v>
          </cell>
          <cell r="G7">
            <v>34.327336507936522</v>
          </cell>
        </row>
        <row r="8">
          <cell r="C8">
            <v>56.084970419350903</v>
          </cell>
        </row>
        <row r="10">
          <cell r="C10">
            <v>94.86363218324108</v>
          </cell>
        </row>
        <row r="13">
          <cell r="C13">
            <v>157.01</v>
          </cell>
        </row>
        <row r="14">
          <cell r="C14">
            <v>131.06</v>
          </cell>
        </row>
        <row r="15">
          <cell r="C15">
            <v>102.42</v>
          </cell>
        </row>
        <row r="16">
          <cell r="C16">
            <v>83.45</v>
          </cell>
        </row>
        <row r="17">
          <cell r="C17">
            <v>71.73</v>
          </cell>
        </row>
        <row r="18">
          <cell r="C18">
            <v>60.63</v>
          </cell>
        </row>
        <row r="20">
          <cell r="C20">
            <v>2.53E-2</v>
          </cell>
        </row>
        <row r="21">
          <cell r="C21">
            <v>20</v>
          </cell>
          <cell r="D21">
            <v>15</v>
          </cell>
        </row>
        <row r="22">
          <cell r="C22">
            <v>3.6900000000000002E-2</v>
          </cell>
        </row>
        <row r="48">
          <cell r="D48">
            <v>0.15732249489059952</v>
          </cell>
        </row>
      </sheetData>
      <sheetData sheetId="2"/>
      <sheetData sheetId="3">
        <row r="169">
          <cell r="F169" t="str">
            <v>Pas d'appoint</v>
          </cell>
        </row>
      </sheetData>
      <sheetData sheetId="4">
        <row r="170">
          <cell r="F170" t="str">
            <v>Gaz naturel</v>
          </cell>
        </row>
        <row r="171">
          <cell r="F171" t="str">
            <v>Fuel domestique</v>
          </cell>
        </row>
        <row r="172">
          <cell r="F172" t="str">
            <v>Propane</v>
          </cell>
        </row>
        <row r="173">
          <cell r="C173" t="str">
            <v>Ballons d'ECS électrique</v>
          </cell>
          <cell r="F173" t="str">
            <v>Electrique</v>
          </cell>
        </row>
        <row r="174">
          <cell r="C174" t="str">
            <v xml:space="preserve">Couplé à la solution de référence </v>
          </cell>
        </row>
        <row r="176">
          <cell r="C176" t="str">
            <v>En collecteur d'eaux usées</v>
          </cell>
        </row>
        <row r="179">
          <cell r="C179" t="str">
            <v>En sortie d'immeuble</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List"/>
      <sheetName val="Paramètres"/>
      <sheetName val="ERD"/>
    </sheetNames>
    <sheetDataSet>
      <sheetData sheetId="0">
        <row r="1">
          <cell r="P1">
            <v>2</v>
          </cell>
        </row>
        <row r="9">
          <cell r="D9">
            <v>123456789</v>
          </cell>
        </row>
        <row r="14">
          <cell r="E14" t="str">
            <v>Non</v>
          </cell>
        </row>
        <row r="24">
          <cell r="F24" t="str">
            <v>Oui</v>
          </cell>
          <cell r="K24">
            <v>3</v>
          </cell>
        </row>
        <row r="27">
          <cell r="H27" t="str">
            <v>Localisation des projets solaire :</v>
          </cell>
          <cell r="P27">
            <v>0</v>
          </cell>
          <cell r="Q27" t="str">
            <v/>
          </cell>
        </row>
        <row r="52">
          <cell r="A52" t="str">
            <v>INVESTISSEMENTS : CHAUFFERIES BIOMASSE</v>
          </cell>
        </row>
        <row r="54">
          <cell r="A54" t="str">
            <v>Installations</v>
          </cell>
          <cell r="C54" t="str">
            <v>Secteur</v>
          </cell>
          <cell r="E54" t="str">
            <v>Montants des dépenses (HTR*)</v>
          </cell>
          <cell r="G54" t="str">
            <v>Production annuelle envisagée (en MWh/an)</v>
          </cell>
          <cell r="I54" t="str">
            <v>Aide ADEME</v>
          </cell>
        </row>
        <row r="55">
          <cell r="A55" t="str">
            <v>Installation n°1</v>
          </cell>
          <cell r="C55" t="str">
            <v>collectif / tertiaire</v>
          </cell>
          <cell r="E55">
            <v>150000</v>
          </cell>
          <cell r="G55">
            <v>6000</v>
          </cell>
          <cell r="I55">
            <v>150000</v>
          </cell>
          <cell r="M55">
            <v>1</v>
          </cell>
          <cell r="N55">
            <v>1</v>
          </cell>
          <cell r="P55">
            <v>0</v>
          </cell>
          <cell r="Q55" t="str">
            <v/>
          </cell>
        </row>
        <row r="56">
          <cell r="A56" t="str">
            <v>Installation n°2</v>
          </cell>
          <cell r="I56">
            <v>0</v>
          </cell>
          <cell r="M56">
            <v>2</v>
          </cell>
          <cell r="N56">
            <v>1</v>
          </cell>
          <cell r="P56">
            <v>1</v>
          </cell>
          <cell r="Q56" t="str">
            <v>Merci de choisir le secteur d'activité qui utilisera la chaleur</v>
          </cell>
        </row>
        <row r="57">
          <cell r="A57" t="str">
            <v>Installation n°3</v>
          </cell>
          <cell r="I57">
            <v>0</v>
          </cell>
          <cell r="M57">
            <v>3</v>
          </cell>
          <cell r="N57">
            <v>1</v>
          </cell>
          <cell r="P57">
            <v>1</v>
          </cell>
          <cell r="Q57" t="str">
            <v>Merci de choisir le secteur d'activité qui utilisera la chaleur</v>
          </cell>
        </row>
        <row r="58">
          <cell r="A58" t="str">
            <v>Installation n°4</v>
          </cell>
          <cell r="I58">
            <v>0</v>
          </cell>
          <cell r="M58">
            <v>4</v>
          </cell>
          <cell r="N58">
            <v>0</v>
          </cell>
          <cell r="P58">
            <v>0</v>
          </cell>
          <cell r="Q58" t="str">
            <v/>
          </cell>
        </row>
        <row r="59">
          <cell r="A59" t="str">
            <v>Installation n°5</v>
          </cell>
          <cell r="I59">
            <v>0</v>
          </cell>
          <cell r="M59">
            <v>5</v>
          </cell>
          <cell r="N59">
            <v>0</v>
          </cell>
          <cell r="P59">
            <v>0</v>
          </cell>
          <cell r="Q59" t="str">
            <v/>
          </cell>
        </row>
        <row r="60">
          <cell r="A60" t="str">
            <v>Installation n°6</v>
          </cell>
          <cell r="I60">
            <v>0</v>
          </cell>
          <cell r="M60">
            <v>6</v>
          </cell>
          <cell r="N60">
            <v>0</v>
          </cell>
          <cell r="P60">
            <v>0</v>
          </cell>
          <cell r="Q60" t="str">
            <v/>
          </cell>
        </row>
        <row r="61">
          <cell r="A61" t="str">
            <v>Installation n°7</v>
          </cell>
          <cell r="I61">
            <v>0</v>
          </cell>
          <cell r="M61">
            <v>7</v>
          </cell>
          <cell r="N61">
            <v>0</v>
          </cell>
          <cell r="P61">
            <v>0</v>
          </cell>
          <cell r="Q61" t="str">
            <v/>
          </cell>
        </row>
        <row r="62">
          <cell r="A62" t="str">
            <v>Installation n°8</v>
          </cell>
          <cell r="I62">
            <v>0</v>
          </cell>
          <cell r="M62">
            <v>8</v>
          </cell>
          <cell r="N62">
            <v>0</v>
          </cell>
          <cell r="P62">
            <v>0</v>
          </cell>
          <cell r="Q62" t="str">
            <v/>
          </cell>
        </row>
        <row r="63">
          <cell r="A63" t="str">
            <v>Installation n°9</v>
          </cell>
          <cell r="I63">
            <v>0</v>
          </cell>
          <cell r="M63">
            <v>9</v>
          </cell>
          <cell r="N63">
            <v>0</v>
          </cell>
          <cell r="P63">
            <v>0</v>
          </cell>
          <cell r="Q63" t="str">
            <v/>
          </cell>
        </row>
        <row r="64">
          <cell r="A64" t="str">
            <v>Installation n°10</v>
          </cell>
          <cell r="I64">
            <v>0</v>
          </cell>
          <cell r="M64">
            <v>10</v>
          </cell>
          <cell r="N64">
            <v>0</v>
          </cell>
          <cell r="P64">
            <v>0</v>
          </cell>
          <cell r="Q64" t="str">
            <v/>
          </cell>
        </row>
        <row r="65">
          <cell r="A65" t="str">
            <v>Installation n°11</v>
          </cell>
          <cell r="I65">
            <v>0</v>
          </cell>
          <cell r="M65">
            <v>11</v>
          </cell>
          <cell r="N65">
            <v>0</v>
          </cell>
          <cell r="P65">
            <v>0</v>
          </cell>
          <cell r="Q65" t="str">
            <v/>
          </cell>
        </row>
        <row r="66">
          <cell r="A66" t="str">
            <v>Installation n°12</v>
          </cell>
          <cell r="I66">
            <v>0</v>
          </cell>
          <cell r="M66">
            <v>12</v>
          </cell>
          <cell r="N66">
            <v>0</v>
          </cell>
          <cell r="P66">
            <v>0</v>
          </cell>
          <cell r="Q66" t="str">
            <v/>
          </cell>
        </row>
        <row r="67">
          <cell r="A67" t="str">
            <v>Installation n°13</v>
          </cell>
          <cell r="I67">
            <v>0</v>
          </cell>
          <cell r="M67">
            <v>13</v>
          </cell>
          <cell r="N67">
            <v>0</v>
          </cell>
          <cell r="P67">
            <v>0</v>
          </cell>
          <cell r="Q67" t="str">
            <v/>
          </cell>
        </row>
        <row r="68">
          <cell r="A68" t="str">
            <v>Installation n°14</v>
          </cell>
          <cell r="I68">
            <v>0</v>
          </cell>
          <cell r="M68">
            <v>14</v>
          </cell>
          <cell r="N68">
            <v>0</v>
          </cell>
          <cell r="P68">
            <v>0</v>
          </cell>
          <cell r="Q68" t="str">
            <v/>
          </cell>
        </row>
        <row r="69">
          <cell r="A69" t="str">
            <v>Installation n°15</v>
          </cell>
          <cell r="I69">
            <v>0</v>
          </cell>
          <cell r="M69">
            <v>15</v>
          </cell>
          <cell r="N69">
            <v>0</v>
          </cell>
          <cell r="P69">
            <v>0</v>
          </cell>
          <cell r="Q69" t="str">
            <v/>
          </cell>
        </row>
        <row r="70">
          <cell r="A70" t="str">
            <v>Installation n°16</v>
          </cell>
          <cell r="I70">
            <v>0</v>
          </cell>
          <cell r="M70">
            <v>16</v>
          </cell>
          <cell r="N70">
            <v>0</v>
          </cell>
          <cell r="P70">
            <v>0</v>
          </cell>
          <cell r="Q70" t="str">
            <v/>
          </cell>
        </row>
        <row r="71">
          <cell r="A71" t="str">
            <v>Installation n°17</v>
          </cell>
          <cell r="I71">
            <v>0</v>
          </cell>
          <cell r="M71">
            <v>17</v>
          </cell>
          <cell r="N71">
            <v>0</v>
          </cell>
          <cell r="P71">
            <v>0</v>
          </cell>
          <cell r="Q71" t="str">
            <v/>
          </cell>
        </row>
        <row r="72">
          <cell r="A72" t="str">
            <v>Installation n°18</v>
          </cell>
          <cell r="I72">
            <v>0</v>
          </cell>
          <cell r="M72">
            <v>18</v>
          </cell>
          <cell r="N72">
            <v>0</v>
          </cell>
          <cell r="P72">
            <v>0</v>
          </cell>
          <cell r="Q72" t="str">
            <v/>
          </cell>
        </row>
        <row r="73">
          <cell r="A73" t="str">
            <v>Installation n°19</v>
          </cell>
          <cell r="I73">
            <v>0</v>
          </cell>
          <cell r="M73">
            <v>19</v>
          </cell>
          <cell r="N73">
            <v>0</v>
          </cell>
          <cell r="P73">
            <v>0</v>
          </cell>
          <cell r="Q73" t="str">
            <v/>
          </cell>
        </row>
        <row r="74">
          <cell r="A74" t="str">
            <v>Installation n°20</v>
          </cell>
          <cell r="I74">
            <v>0</v>
          </cell>
          <cell r="M74">
            <v>20</v>
          </cell>
          <cell r="N74">
            <v>0</v>
          </cell>
          <cell r="P74">
            <v>0</v>
          </cell>
          <cell r="Q74" t="str">
            <v/>
          </cell>
        </row>
        <row r="75">
          <cell r="A75" t="str">
            <v>Total</v>
          </cell>
          <cell r="E75">
            <v>150000</v>
          </cell>
          <cell r="G75">
            <v>6000</v>
          </cell>
          <cell r="I75">
            <v>150000</v>
          </cell>
          <cell r="P75">
            <v>0</v>
          </cell>
          <cell r="Q75" t="str">
            <v/>
          </cell>
        </row>
        <row r="76">
          <cell r="A76" t="str">
            <v>* HTR = Hors TVA Récupérable auprès du Trésor Public ou du Fonds de Compensation de la Taxe sur la Valeur Ajoutée</v>
          </cell>
        </row>
        <row r="78">
          <cell r="A78" t="str">
            <v>INVESTISSEMENTS : SOLAIRE THERMIQUE</v>
          </cell>
        </row>
        <row r="80">
          <cell r="A80" t="str">
            <v>Installations</v>
          </cell>
          <cell r="C80" t="str">
            <v>Usage</v>
          </cell>
          <cell r="E80" t="str">
            <v>Zone d'implantation / Type de bâtiment</v>
          </cell>
          <cell r="G80" t="str">
            <v>Montants des dépenses (HTR*)</v>
          </cell>
          <cell r="I80" t="str">
            <v>Production annuelle envisagée (en MWh/an)</v>
          </cell>
          <cell r="K80" t="str">
            <v>Aide ADEME</v>
          </cell>
        </row>
        <row r="81">
          <cell r="A81" t="str">
            <v>Installation n°1</v>
          </cell>
          <cell r="K81">
            <v>0</v>
          </cell>
          <cell r="M81">
            <v>1</v>
          </cell>
          <cell r="N81">
            <v>0</v>
          </cell>
          <cell r="O81" t="str">
            <v/>
          </cell>
          <cell r="P81">
            <v>0</v>
          </cell>
          <cell r="Q81" t="str">
            <v/>
          </cell>
        </row>
        <row r="82">
          <cell r="A82" t="str">
            <v>Installation n°2</v>
          </cell>
          <cell r="K82">
            <v>0</v>
          </cell>
          <cell r="M82">
            <v>2</v>
          </cell>
          <cell r="N82">
            <v>0</v>
          </cell>
          <cell r="O82" t="str">
            <v/>
          </cell>
          <cell r="P82">
            <v>0</v>
          </cell>
          <cell r="Q82" t="str">
            <v/>
          </cell>
        </row>
        <row r="83">
          <cell r="A83" t="str">
            <v>Installation n°3</v>
          </cell>
          <cell r="K83">
            <v>0</v>
          </cell>
          <cell r="M83">
            <v>3</v>
          </cell>
          <cell r="N83">
            <v>0</v>
          </cell>
          <cell r="O83" t="str">
            <v/>
          </cell>
          <cell r="P83">
            <v>0</v>
          </cell>
          <cell r="Q83" t="str">
            <v/>
          </cell>
        </row>
        <row r="84">
          <cell r="A84" t="str">
            <v>Installation n°4</v>
          </cell>
          <cell r="K84">
            <v>0</v>
          </cell>
          <cell r="M84">
            <v>4</v>
          </cell>
          <cell r="N84">
            <v>0</v>
          </cell>
          <cell r="O84" t="str">
            <v/>
          </cell>
          <cell r="P84">
            <v>0</v>
          </cell>
          <cell r="Q84" t="str">
            <v/>
          </cell>
        </row>
        <row r="85">
          <cell r="A85" t="str">
            <v>Installation n°5</v>
          </cell>
          <cell r="K85">
            <v>0</v>
          </cell>
          <cell r="M85">
            <v>5</v>
          </cell>
          <cell r="N85">
            <v>0</v>
          </cell>
          <cell r="O85" t="str">
            <v/>
          </cell>
          <cell r="P85">
            <v>0</v>
          </cell>
          <cell r="Q85" t="str">
            <v/>
          </cell>
        </row>
        <row r="86">
          <cell r="A86" t="str">
            <v>Installation n°6</v>
          </cell>
          <cell r="K86">
            <v>0</v>
          </cell>
          <cell r="M86">
            <v>6</v>
          </cell>
          <cell r="N86">
            <v>0</v>
          </cell>
          <cell r="O86" t="str">
            <v/>
          </cell>
          <cell r="P86">
            <v>0</v>
          </cell>
          <cell r="Q86" t="str">
            <v/>
          </cell>
        </row>
        <row r="87">
          <cell r="A87" t="str">
            <v>Installation n°7</v>
          </cell>
          <cell r="K87">
            <v>0</v>
          </cell>
          <cell r="M87">
            <v>7</v>
          </cell>
          <cell r="N87">
            <v>0</v>
          </cell>
          <cell r="O87" t="str">
            <v/>
          </cell>
          <cell r="P87">
            <v>0</v>
          </cell>
          <cell r="Q87" t="str">
            <v/>
          </cell>
        </row>
        <row r="88">
          <cell r="A88" t="str">
            <v>Installation n°8</v>
          </cell>
          <cell r="K88">
            <v>0</v>
          </cell>
          <cell r="M88">
            <v>8</v>
          </cell>
          <cell r="N88">
            <v>0</v>
          </cell>
          <cell r="O88" t="str">
            <v/>
          </cell>
          <cell r="P88">
            <v>0</v>
          </cell>
          <cell r="Q88" t="str">
            <v/>
          </cell>
        </row>
        <row r="89">
          <cell r="A89" t="str">
            <v>Installation n°9</v>
          </cell>
          <cell r="K89">
            <v>0</v>
          </cell>
          <cell r="M89">
            <v>9</v>
          </cell>
          <cell r="N89">
            <v>0</v>
          </cell>
          <cell r="O89" t="str">
            <v/>
          </cell>
          <cell r="P89">
            <v>0</v>
          </cell>
          <cell r="Q89" t="str">
            <v/>
          </cell>
        </row>
        <row r="90">
          <cell r="A90" t="str">
            <v>Installation n°10</v>
          </cell>
          <cell r="K90">
            <v>0</v>
          </cell>
          <cell r="M90">
            <v>10</v>
          </cell>
          <cell r="N90">
            <v>0</v>
          </cell>
          <cell r="O90" t="str">
            <v/>
          </cell>
          <cell r="P90">
            <v>0</v>
          </cell>
          <cell r="Q90" t="str">
            <v/>
          </cell>
        </row>
        <row r="91">
          <cell r="A91" t="str">
            <v>Installation n°11</v>
          </cell>
          <cell r="K91">
            <v>0</v>
          </cell>
          <cell r="M91">
            <v>11</v>
          </cell>
          <cell r="N91">
            <v>0</v>
          </cell>
          <cell r="O91" t="str">
            <v/>
          </cell>
          <cell r="P91">
            <v>0</v>
          </cell>
          <cell r="Q91" t="str">
            <v/>
          </cell>
        </row>
        <row r="92">
          <cell r="A92" t="str">
            <v>Installation n°12</v>
          </cell>
          <cell r="K92">
            <v>0</v>
          </cell>
          <cell r="M92">
            <v>12</v>
          </cell>
          <cell r="N92">
            <v>0</v>
          </cell>
          <cell r="O92" t="str">
            <v/>
          </cell>
          <cell r="P92">
            <v>0</v>
          </cell>
          <cell r="Q92" t="str">
            <v/>
          </cell>
        </row>
        <row r="93">
          <cell r="A93" t="str">
            <v>Installation n°13</v>
          </cell>
          <cell r="K93">
            <v>0</v>
          </cell>
          <cell r="M93">
            <v>13</v>
          </cell>
          <cell r="N93">
            <v>0</v>
          </cell>
          <cell r="O93" t="str">
            <v/>
          </cell>
          <cell r="P93">
            <v>0</v>
          </cell>
          <cell r="Q93" t="str">
            <v/>
          </cell>
        </row>
        <row r="94">
          <cell r="A94" t="str">
            <v>Installation n°14</v>
          </cell>
          <cell r="K94">
            <v>0</v>
          </cell>
          <cell r="M94">
            <v>14</v>
          </cell>
          <cell r="N94">
            <v>0</v>
          </cell>
          <cell r="O94" t="str">
            <v/>
          </cell>
          <cell r="P94">
            <v>0</v>
          </cell>
          <cell r="Q94" t="str">
            <v/>
          </cell>
        </row>
        <row r="95">
          <cell r="A95" t="str">
            <v>Installation n°15</v>
          </cell>
          <cell r="K95">
            <v>0</v>
          </cell>
          <cell r="M95">
            <v>15</v>
          </cell>
          <cell r="N95">
            <v>0</v>
          </cell>
          <cell r="O95" t="str">
            <v/>
          </cell>
          <cell r="P95">
            <v>0</v>
          </cell>
          <cell r="Q95" t="str">
            <v/>
          </cell>
        </row>
        <row r="96">
          <cell r="A96" t="str">
            <v>Installation n°16</v>
          </cell>
          <cell r="K96">
            <v>0</v>
          </cell>
          <cell r="M96">
            <v>16</v>
          </cell>
          <cell r="N96">
            <v>0</v>
          </cell>
          <cell r="O96" t="str">
            <v/>
          </cell>
          <cell r="P96">
            <v>0</v>
          </cell>
          <cell r="Q96" t="str">
            <v/>
          </cell>
        </row>
        <row r="97">
          <cell r="A97" t="str">
            <v>Installation n°17</v>
          </cell>
          <cell r="K97">
            <v>0</v>
          </cell>
          <cell r="M97">
            <v>17</v>
          </cell>
          <cell r="N97">
            <v>0</v>
          </cell>
          <cell r="O97" t="str">
            <v/>
          </cell>
          <cell r="P97">
            <v>0</v>
          </cell>
          <cell r="Q97" t="str">
            <v/>
          </cell>
        </row>
        <row r="98">
          <cell r="A98" t="str">
            <v>Installation n°18</v>
          </cell>
          <cell r="K98">
            <v>0</v>
          </cell>
          <cell r="M98">
            <v>18</v>
          </cell>
          <cell r="N98">
            <v>0</v>
          </cell>
          <cell r="O98" t="str">
            <v/>
          </cell>
          <cell r="P98">
            <v>0</v>
          </cell>
          <cell r="Q98" t="str">
            <v/>
          </cell>
        </row>
        <row r="99">
          <cell r="A99" t="str">
            <v>Installation n°19</v>
          </cell>
          <cell r="K99">
            <v>0</v>
          </cell>
          <cell r="M99">
            <v>19</v>
          </cell>
          <cell r="N99">
            <v>0</v>
          </cell>
          <cell r="O99" t="str">
            <v/>
          </cell>
          <cell r="P99">
            <v>0</v>
          </cell>
          <cell r="Q99" t="str">
            <v/>
          </cell>
        </row>
        <row r="100">
          <cell r="A100" t="str">
            <v>Installation n°20</v>
          </cell>
          <cell r="K100">
            <v>0</v>
          </cell>
          <cell r="M100">
            <v>20</v>
          </cell>
          <cell r="N100">
            <v>0</v>
          </cell>
          <cell r="O100" t="str">
            <v/>
          </cell>
          <cell r="P100">
            <v>0</v>
          </cell>
          <cell r="Q100" t="str">
            <v/>
          </cell>
        </row>
        <row r="101">
          <cell r="A101" t="str">
            <v>Total</v>
          </cell>
          <cell r="G101">
            <v>0</v>
          </cell>
          <cell r="I101">
            <v>0</v>
          </cell>
          <cell r="K101">
            <v>0</v>
          </cell>
        </row>
        <row r="102">
          <cell r="A102" t="str">
            <v>* HTR = Hors TVA Récupérable auprès du Trésor Public ou du Fonds de Compensation de la Taxe sur la Valeur Ajoutée</v>
          </cell>
        </row>
        <row r="104">
          <cell r="A104" t="str">
            <v>INVESTISSEMENTS : GEOTHERMIE DE SURFACE</v>
          </cell>
        </row>
        <row r="106">
          <cell r="A106" t="str">
            <v>Installations</v>
          </cell>
          <cell r="C106" t="str">
            <v>Technologie</v>
          </cell>
          <cell r="G106" t="str">
            <v>Montants des dépenses (HTR*)</v>
          </cell>
          <cell r="I106" t="str">
            <v>Production annuelle envisagée (en MWh/an)</v>
          </cell>
          <cell r="K106" t="str">
            <v>Aide ADEME</v>
          </cell>
        </row>
        <row r="107">
          <cell r="A107" t="str">
            <v>Installation n°1</v>
          </cell>
          <cell r="K107">
            <v>0</v>
          </cell>
          <cell r="M107">
            <v>1</v>
          </cell>
          <cell r="N107">
            <v>0</v>
          </cell>
          <cell r="P107">
            <v>0</v>
          </cell>
          <cell r="Q107" t="str">
            <v/>
          </cell>
        </row>
        <row r="108">
          <cell r="A108" t="str">
            <v>Installation n°2</v>
          </cell>
          <cell r="K108">
            <v>0</v>
          </cell>
          <cell r="M108">
            <v>2</v>
          </cell>
          <cell r="N108">
            <v>0</v>
          </cell>
          <cell r="P108">
            <v>0</v>
          </cell>
          <cell r="Q108" t="str">
            <v/>
          </cell>
        </row>
        <row r="109">
          <cell r="A109" t="str">
            <v>Installation n°3</v>
          </cell>
          <cell r="K109">
            <v>0</v>
          </cell>
          <cell r="M109">
            <v>3</v>
          </cell>
          <cell r="N109">
            <v>0</v>
          </cell>
          <cell r="P109">
            <v>0</v>
          </cell>
          <cell r="Q109" t="str">
            <v/>
          </cell>
        </row>
        <row r="110">
          <cell r="A110" t="str">
            <v>Installation n°4</v>
          </cell>
          <cell r="K110">
            <v>0</v>
          </cell>
          <cell r="M110">
            <v>4</v>
          </cell>
          <cell r="N110">
            <v>0</v>
          </cell>
          <cell r="P110">
            <v>0</v>
          </cell>
          <cell r="Q110" t="str">
            <v/>
          </cell>
        </row>
        <row r="111">
          <cell r="A111" t="str">
            <v>Installation n°5</v>
          </cell>
          <cell r="K111">
            <v>0</v>
          </cell>
          <cell r="M111">
            <v>5</v>
          </cell>
          <cell r="N111">
            <v>0</v>
          </cell>
          <cell r="P111">
            <v>0</v>
          </cell>
          <cell r="Q111" t="str">
            <v/>
          </cell>
        </row>
        <row r="112">
          <cell r="A112" t="str">
            <v>Installation n°6</v>
          </cell>
          <cell r="K112">
            <v>0</v>
          </cell>
          <cell r="M112">
            <v>6</v>
          </cell>
          <cell r="N112">
            <v>0</v>
          </cell>
          <cell r="P112">
            <v>0</v>
          </cell>
          <cell r="Q112" t="str">
            <v/>
          </cell>
        </row>
        <row r="113">
          <cell r="A113" t="str">
            <v>Installation n°7</v>
          </cell>
          <cell r="K113">
            <v>0</v>
          </cell>
          <cell r="M113">
            <v>7</v>
          </cell>
          <cell r="N113">
            <v>0</v>
          </cell>
          <cell r="P113">
            <v>0</v>
          </cell>
          <cell r="Q113" t="str">
            <v/>
          </cell>
        </row>
        <row r="114">
          <cell r="A114" t="str">
            <v>Installation n°8</v>
          </cell>
          <cell r="K114">
            <v>0</v>
          </cell>
          <cell r="M114">
            <v>8</v>
          </cell>
          <cell r="N114">
            <v>0</v>
          </cell>
          <cell r="P114">
            <v>0</v>
          </cell>
          <cell r="Q114" t="str">
            <v/>
          </cell>
        </row>
        <row r="115">
          <cell r="A115" t="str">
            <v>Installation n°9</v>
          </cell>
          <cell r="K115">
            <v>0</v>
          </cell>
          <cell r="M115">
            <v>9</v>
          </cell>
          <cell r="N115">
            <v>0</v>
          </cell>
          <cell r="P115">
            <v>0</v>
          </cell>
          <cell r="Q115" t="str">
            <v/>
          </cell>
        </row>
        <row r="116">
          <cell r="A116" t="str">
            <v>Installation n°10</v>
          </cell>
          <cell r="K116">
            <v>0</v>
          </cell>
          <cell r="M116">
            <v>10</v>
          </cell>
          <cell r="N116">
            <v>0</v>
          </cell>
          <cell r="P116">
            <v>0</v>
          </cell>
          <cell r="Q116" t="str">
            <v/>
          </cell>
        </row>
        <row r="117">
          <cell r="A117" t="str">
            <v>Installation n°11</v>
          </cell>
          <cell r="K117">
            <v>0</v>
          </cell>
          <cell r="M117">
            <v>11</v>
          </cell>
          <cell r="N117">
            <v>0</v>
          </cell>
          <cell r="P117">
            <v>0</v>
          </cell>
          <cell r="Q117" t="str">
            <v/>
          </cell>
        </row>
        <row r="118">
          <cell r="A118" t="str">
            <v>Installation n°12</v>
          </cell>
          <cell r="K118">
            <v>0</v>
          </cell>
          <cell r="M118">
            <v>12</v>
          </cell>
          <cell r="N118">
            <v>0</v>
          </cell>
          <cell r="P118">
            <v>0</v>
          </cell>
          <cell r="Q118" t="str">
            <v/>
          </cell>
        </row>
        <row r="119">
          <cell r="A119" t="str">
            <v>Installation n°13</v>
          </cell>
          <cell r="K119">
            <v>0</v>
          </cell>
          <cell r="M119">
            <v>13</v>
          </cell>
          <cell r="N119">
            <v>0</v>
          </cell>
          <cell r="P119">
            <v>0</v>
          </cell>
          <cell r="Q119" t="str">
            <v/>
          </cell>
        </row>
        <row r="120">
          <cell r="A120" t="str">
            <v>Installation n°14</v>
          </cell>
          <cell r="K120">
            <v>0</v>
          </cell>
          <cell r="M120">
            <v>14</v>
          </cell>
          <cell r="N120">
            <v>0</v>
          </cell>
          <cell r="P120">
            <v>0</v>
          </cell>
          <cell r="Q120" t="str">
            <v/>
          </cell>
        </row>
        <row r="121">
          <cell r="A121" t="str">
            <v>Installation n°15</v>
          </cell>
          <cell r="K121">
            <v>0</v>
          </cell>
          <cell r="M121">
            <v>15</v>
          </cell>
          <cell r="N121">
            <v>0</v>
          </cell>
          <cell r="P121">
            <v>0</v>
          </cell>
          <cell r="Q121" t="str">
            <v/>
          </cell>
        </row>
        <row r="122">
          <cell r="A122" t="str">
            <v>Installation n°16</v>
          </cell>
          <cell r="K122">
            <v>0</v>
          </cell>
          <cell r="M122">
            <v>16</v>
          </cell>
          <cell r="N122">
            <v>0</v>
          </cell>
          <cell r="P122">
            <v>0</v>
          </cell>
          <cell r="Q122" t="str">
            <v/>
          </cell>
        </row>
        <row r="123">
          <cell r="A123" t="str">
            <v>Installation n°17</v>
          </cell>
          <cell r="K123">
            <v>0</v>
          </cell>
          <cell r="M123">
            <v>17</v>
          </cell>
          <cell r="N123">
            <v>0</v>
          </cell>
          <cell r="P123">
            <v>0</v>
          </cell>
          <cell r="Q123" t="str">
            <v/>
          </cell>
        </row>
        <row r="124">
          <cell r="A124" t="str">
            <v>Installation n°18</v>
          </cell>
          <cell r="K124">
            <v>0</v>
          </cell>
          <cell r="M124">
            <v>18</v>
          </cell>
          <cell r="N124">
            <v>0</v>
          </cell>
          <cell r="P124">
            <v>0</v>
          </cell>
          <cell r="Q124" t="str">
            <v/>
          </cell>
        </row>
        <row r="125">
          <cell r="A125" t="str">
            <v>Installation n°19</v>
          </cell>
          <cell r="K125">
            <v>0</v>
          </cell>
          <cell r="M125">
            <v>19</v>
          </cell>
          <cell r="N125">
            <v>0</v>
          </cell>
          <cell r="P125">
            <v>0</v>
          </cell>
          <cell r="Q125" t="str">
            <v/>
          </cell>
        </row>
        <row r="126">
          <cell r="A126" t="str">
            <v>Installation n°20</v>
          </cell>
          <cell r="K126">
            <v>0</v>
          </cell>
          <cell r="M126">
            <v>20</v>
          </cell>
          <cell r="N126">
            <v>0</v>
          </cell>
          <cell r="P126">
            <v>0</v>
          </cell>
          <cell r="Q126" t="str">
            <v/>
          </cell>
        </row>
        <row r="127">
          <cell r="A127" t="str">
            <v>Total</v>
          </cell>
          <cell r="G127">
            <v>0</v>
          </cell>
          <cell r="I127">
            <v>0</v>
          </cell>
          <cell r="K127">
            <v>0</v>
          </cell>
        </row>
        <row r="128">
          <cell r="A128" t="str">
            <v>* HTR = Hors TVA Récupérable auprès du Trésor Public ou du Fonds de Compensation de la Taxe sur la Valeur Ajoutée</v>
          </cell>
        </row>
        <row r="163">
          <cell r="G163">
            <v>150000</v>
          </cell>
        </row>
        <row r="164">
          <cell r="M164">
            <v>0</v>
          </cell>
        </row>
        <row r="165">
          <cell r="M165">
            <v>0</v>
          </cell>
        </row>
        <row r="166">
          <cell r="M166">
            <v>0</v>
          </cell>
        </row>
        <row r="167">
          <cell r="M167">
            <v>0</v>
          </cell>
        </row>
        <row r="168">
          <cell r="M168">
            <v>0</v>
          </cell>
        </row>
        <row r="169">
          <cell r="M169">
            <v>0</v>
          </cell>
        </row>
        <row r="171">
          <cell r="M171">
            <v>0</v>
          </cell>
        </row>
        <row r="172">
          <cell r="M172">
            <v>0</v>
          </cell>
        </row>
        <row r="173">
          <cell r="M173">
            <v>0</v>
          </cell>
        </row>
        <row r="174">
          <cell r="M174">
            <v>0</v>
          </cell>
        </row>
        <row r="176">
          <cell r="M176">
            <v>0</v>
          </cell>
        </row>
        <row r="177">
          <cell r="M177">
            <v>0</v>
          </cell>
        </row>
        <row r="178">
          <cell r="M178">
            <v>0</v>
          </cell>
        </row>
        <row r="179">
          <cell r="M179">
            <v>0</v>
          </cell>
        </row>
        <row r="196">
          <cell r="A196" t="str">
            <v>3.1 Pour les aides aux investissements</v>
          </cell>
        </row>
        <row r="200">
          <cell r="B200" t="str">
            <v xml:space="preserve"> - de 1,25 €/MWh/an sur 20 ans pour les installations biomasse.</v>
          </cell>
        </row>
        <row r="201">
          <cell r="B201" t="e">
            <v>#DIV/0!</v>
          </cell>
        </row>
        <row r="207">
          <cell r="A207" t="str">
            <v>3.2 Pour les aides aux études</v>
          </cell>
        </row>
      </sheetData>
      <sheetData sheetId="1">
        <row r="2">
          <cell r="A2" t="str">
            <v>Oui</v>
          </cell>
          <cell r="B2" t="str">
            <v>Economique</v>
          </cell>
          <cell r="C2" t="str">
            <v>Petite</v>
          </cell>
          <cell r="D2" t="str">
            <v>Métropole</v>
          </cell>
          <cell r="E2" t="str">
            <v>Injection sur réseau urbain</v>
          </cell>
          <cell r="I2" t="str">
            <v>* HTR = Hors TVA Récupérable auprès du Trésor Public ou du Fonds de Compensation de la Taxe sur la Valeur Ajoutée</v>
          </cell>
          <cell r="J2" t="str">
            <v>Territorial</v>
          </cell>
        </row>
        <row r="3">
          <cell r="A3" t="str">
            <v>Non</v>
          </cell>
          <cell r="B3" t="str">
            <v>Non économique</v>
          </cell>
          <cell r="C3" t="str">
            <v>Moyenne</v>
          </cell>
          <cell r="D3" t="str">
            <v>Outre-Mer</v>
          </cell>
          <cell r="E3" t="str">
            <v>Agriculture</v>
          </cell>
          <cell r="G3" t="str">
            <v>Existant</v>
          </cell>
          <cell r="J3" t="str">
            <v>Patrimonial</v>
          </cell>
        </row>
        <row r="4">
          <cell r="C4" t="str">
            <v>Grande</v>
          </cell>
          <cell r="E4" t="str">
            <v>Collectif (hors injection sur réseau urbain)</v>
          </cell>
        </row>
        <row r="5">
          <cell r="E5" t="str">
            <v>Tertiaire (hors injection sur réseau urbain)</v>
          </cell>
        </row>
        <row r="6">
          <cell r="E6" t="str">
            <v>Industrie</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List"/>
      <sheetName val="Paramètres"/>
      <sheetName val="ERD"/>
    </sheetNames>
    <sheetDataSet>
      <sheetData sheetId="0">
        <row r="1">
          <cell r="P1">
            <v>2</v>
          </cell>
        </row>
        <row r="9">
          <cell r="D9">
            <v>123456789</v>
          </cell>
        </row>
        <row r="14">
          <cell r="E14" t="str">
            <v>Non</v>
          </cell>
        </row>
        <row r="24">
          <cell r="F24" t="str">
            <v>Oui</v>
          </cell>
          <cell r="K24">
            <v>3</v>
          </cell>
        </row>
        <row r="27">
          <cell r="H27" t="str">
            <v>Localisation des projets solaire :</v>
          </cell>
          <cell r="P27">
            <v>0</v>
          </cell>
          <cell r="Q27" t="str">
            <v/>
          </cell>
        </row>
        <row r="52">
          <cell r="A52" t="str">
            <v>INVESTISSEMENTS : CHAUFFERIES BIOMASSE</v>
          </cell>
        </row>
        <row r="54">
          <cell r="A54" t="str">
            <v>Installations</v>
          </cell>
          <cell r="C54" t="str">
            <v>Secteur</v>
          </cell>
          <cell r="E54" t="str">
            <v>Montants des dépenses (HTR*)</v>
          </cell>
          <cell r="G54" t="str">
            <v>Production annuelle envisagée (en MWh/an)</v>
          </cell>
          <cell r="I54" t="str">
            <v>Aide ADEME</v>
          </cell>
        </row>
        <row r="55">
          <cell r="A55" t="str">
            <v>Installation n°1</v>
          </cell>
          <cell r="C55" t="str">
            <v>collectif / tertiaire</v>
          </cell>
          <cell r="E55">
            <v>150000</v>
          </cell>
          <cell r="G55">
            <v>6000</v>
          </cell>
          <cell r="I55">
            <v>150000</v>
          </cell>
          <cell r="M55">
            <v>1</v>
          </cell>
          <cell r="N55">
            <v>1</v>
          </cell>
          <cell r="P55">
            <v>0</v>
          </cell>
          <cell r="Q55" t="str">
            <v/>
          </cell>
        </row>
        <row r="56">
          <cell r="A56" t="str">
            <v>Installation n°2</v>
          </cell>
          <cell r="I56">
            <v>0</v>
          </cell>
          <cell r="M56">
            <v>2</v>
          </cell>
          <cell r="N56">
            <v>1</v>
          </cell>
          <cell r="P56">
            <v>1</v>
          </cell>
          <cell r="Q56" t="str">
            <v>Merci de choisir le secteur d'activité qui utilisera la chaleur</v>
          </cell>
        </row>
        <row r="57">
          <cell r="A57" t="str">
            <v>Installation n°3</v>
          </cell>
          <cell r="I57">
            <v>0</v>
          </cell>
          <cell r="M57">
            <v>3</v>
          </cell>
          <cell r="N57">
            <v>1</v>
          </cell>
          <cell r="P57">
            <v>1</v>
          </cell>
          <cell r="Q57" t="str">
            <v>Merci de choisir le secteur d'activité qui utilisera la chaleur</v>
          </cell>
        </row>
        <row r="58">
          <cell r="A58" t="str">
            <v>Installation n°4</v>
          </cell>
          <cell r="I58">
            <v>0</v>
          </cell>
          <cell r="M58">
            <v>4</v>
          </cell>
          <cell r="N58">
            <v>0</v>
          </cell>
          <cell r="P58">
            <v>0</v>
          </cell>
          <cell r="Q58" t="str">
            <v/>
          </cell>
        </row>
        <row r="59">
          <cell r="A59" t="str">
            <v>Installation n°5</v>
          </cell>
          <cell r="I59">
            <v>0</v>
          </cell>
          <cell r="M59">
            <v>5</v>
          </cell>
          <cell r="N59">
            <v>0</v>
          </cell>
          <cell r="P59">
            <v>0</v>
          </cell>
          <cell r="Q59" t="str">
            <v/>
          </cell>
        </row>
        <row r="60">
          <cell r="A60" t="str">
            <v>Installation n°6</v>
          </cell>
          <cell r="I60">
            <v>0</v>
          </cell>
          <cell r="M60">
            <v>6</v>
          </cell>
          <cell r="N60">
            <v>0</v>
          </cell>
          <cell r="P60">
            <v>0</v>
          </cell>
          <cell r="Q60" t="str">
            <v/>
          </cell>
        </row>
        <row r="61">
          <cell r="A61" t="str">
            <v>Installation n°7</v>
          </cell>
          <cell r="I61">
            <v>0</v>
          </cell>
          <cell r="M61">
            <v>7</v>
          </cell>
          <cell r="N61">
            <v>0</v>
          </cell>
          <cell r="P61">
            <v>0</v>
          </cell>
          <cell r="Q61" t="str">
            <v/>
          </cell>
        </row>
        <row r="62">
          <cell r="A62" t="str">
            <v>Installation n°8</v>
          </cell>
          <cell r="I62">
            <v>0</v>
          </cell>
          <cell r="M62">
            <v>8</v>
          </cell>
          <cell r="N62">
            <v>0</v>
          </cell>
          <cell r="P62">
            <v>0</v>
          </cell>
          <cell r="Q62" t="str">
            <v/>
          </cell>
        </row>
        <row r="63">
          <cell r="A63" t="str">
            <v>Installation n°9</v>
          </cell>
          <cell r="I63">
            <v>0</v>
          </cell>
          <cell r="M63">
            <v>9</v>
          </cell>
          <cell r="N63">
            <v>0</v>
          </cell>
          <cell r="P63">
            <v>0</v>
          </cell>
          <cell r="Q63" t="str">
            <v/>
          </cell>
        </row>
        <row r="64">
          <cell r="A64" t="str">
            <v>Installation n°10</v>
          </cell>
          <cell r="I64">
            <v>0</v>
          </cell>
          <cell r="M64">
            <v>10</v>
          </cell>
          <cell r="N64">
            <v>0</v>
          </cell>
          <cell r="P64">
            <v>0</v>
          </cell>
          <cell r="Q64" t="str">
            <v/>
          </cell>
        </row>
        <row r="65">
          <cell r="A65" t="str">
            <v>Installation n°11</v>
          </cell>
          <cell r="I65">
            <v>0</v>
          </cell>
          <cell r="M65">
            <v>11</v>
          </cell>
          <cell r="N65">
            <v>0</v>
          </cell>
          <cell r="P65">
            <v>0</v>
          </cell>
          <cell r="Q65" t="str">
            <v/>
          </cell>
        </row>
        <row r="66">
          <cell r="A66" t="str">
            <v>Installation n°12</v>
          </cell>
          <cell r="I66">
            <v>0</v>
          </cell>
          <cell r="M66">
            <v>12</v>
          </cell>
          <cell r="N66">
            <v>0</v>
          </cell>
          <cell r="P66">
            <v>0</v>
          </cell>
          <cell r="Q66" t="str">
            <v/>
          </cell>
        </row>
        <row r="67">
          <cell r="A67" t="str">
            <v>Installation n°13</v>
          </cell>
          <cell r="I67">
            <v>0</v>
          </cell>
          <cell r="M67">
            <v>13</v>
          </cell>
          <cell r="N67">
            <v>0</v>
          </cell>
          <cell r="P67">
            <v>0</v>
          </cell>
          <cell r="Q67" t="str">
            <v/>
          </cell>
        </row>
        <row r="68">
          <cell r="A68" t="str">
            <v>Installation n°14</v>
          </cell>
          <cell r="I68">
            <v>0</v>
          </cell>
          <cell r="M68">
            <v>14</v>
          </cell>
          <cell r="N68">
            <v>0</v>
          </cell>
          <cell r="P68">
            <v>0</v>
          </cell>
          <cell r="Q68" t="str">
            <v/>
          </cell>
        </row>
        <row r="69">
          <cell r="A69" t="str">
            <v>Installation n°15</v>
          </cell>
          <cell r="I69">
            <v>0</v>
          </cell>
          <cell r="M69">
            <v>15</v>
          </cell>
          <cell r="N69">
            <v>0</v>
          </cell>
          <cell r="P69">
            <v>0</v>
          </cell>
          <cell r="Q69" t="str">
            <v/>
          </cell>
        </row>
        <row r="70">
          <cell r="A70" t="str">
            <v>Installation n°16</v>
          </cell>
          <cell r="I70">
            <v>0</v>
          </cell>
          <cell r="M70">
            <v>16</v>
          </cell>
          <cell r="N70">
            <v>0</v>
          </cell>
          <cell r="P70">
            <v>0</v>
          </cell>
          <cell r="Q70" t="str">
            <v/>
          </cell>
        </row>
        <row r="71">
          <cell r="A71" t="str">
            <v>Installation n°17</v>
          </cell>
          <cell r="I71">
            <v>0</v>
          </cell>
          <cell r="M71">
            <v>17</v>
          </cell>
          <cell r="N71">
            <v>0</v>
          </cell>
          <cell r="P71">
            <v>0</v>
          </cell>
          <cell r="Q71" t="str">
            <v/>
          </cell>
        </row>
        <row r="72">
          <cell r="A72" t="str">
            <v>Installation n°18</v>
          </cell>
          <cell r="I72">
            <v>0</v>
          </cell>
          <cell r="M72">
            <v>18</v>
          </cell>
          <cell r="N72">
            <v>0</v>
          </cell>
          <cell r="P72">
            <v>0</v>
          </cell>
          <cell r="Q72" t="str">
            <v/>
          </cell>
        </row>
        <row r="73">
          <cell r="A73" t="str">
            <v>Installation n°19</v>
          </cell>
          <cell r="I73">
            <v>0</v>
          </cell>
          <cell r="M73">
            <v>19</v>
          </cell>
          <cell r="N73">
            <v>0</v>
          </cell>
          <cell r="P73">
            <v>0</v>
          </cell>
          <cell r="Q73" t="str">
            <v/>
          </cell>
        </row>
        <row r="74">
          <cell r="A74" t="str">
            <v>Installation n°20</v>
          </cell>
          <cell r="I74">
            <v>0</v>
          </cell>
          <cell r="M74">
            <v>20</v>
          </cell>
          <cell r="N74">
            <v>0</v>
          </cell>
          <cell r="P74">
            <v>0</v>
          </cell>
          <cell r="Q74" t="str">
            <v/>
          </cell>
        </row>
        <row r="75">
          <cell r="A75" t="str">
            <v>Total</v>
          </cell>
          <cell r="E75">
            <v>150000</v>
          </cell>
          <cell r="G75">
            <v>6000</v>
          </cell>
          <cell r="I75">
            <v>150000</v>
          </cell>
          <cell r="P75">
            <v>0</v>
          </cell>
          <cell r="Q75" t="str">
            <v/>
          </cell>
        </row>
        <row r="76">
          <cell r="A76" t="str">
            <v>* HTR = Hors TVA Récupérable auprès du Trésor Public ou du Fonds de Compensation de la Taxe sur la Valeur Ajoutée</v>
          </cell>
        </row>
        <row r="78">
          <cell r="A78" t="str">
            <v>INVESTISSEMENTS : SOLAIRE THERMIQUE</v>
          </cell>
        </row>
        <row r="80">
          <cell r="A80" t="str">
            <v>Installations</v>
          </cell>
          <cell r="C80" t="str">
            <v>Usage</v>
          </cell>
          <cell r="E80" t="str">
            <v>Zone d'implantation / Type de bâtiment</v>
          </cell>
          <cell r="G80" t="str">
            <v>Montants des dépenses (HTR*)</v>
          </cell>
          <cell r="I80" t="str">
            <v>Production annuelle envisagée (en MWh/an)</v>
          </cell>
          <cell r="K80" t="str">
            <v>Aide ADEME</v>
          </cell>
        </row>
        <row r="81">
          <cell r="A81" t="str">
            <v>Installation n°1</v>
          </cell>
          <cell r="K81">
            <v>0</v>
          </cell>
          <cell r="M81">
            <v>1</v>
          </cell>
          <cell r="N81">
            <v>0</v>
          </cell>
          <cell r="O81" t="str">
            <v/>
          </cell>
          <cell r="P81">
            <v>0</v>
          </cell>
          <cell r="Q81" t="str">
            <v/>
          </cell>
        </row>
        <row r="82">
          <cell r="A82" t="str">
            <v>Installation n°2</v>
          </cell>
          <cell r="K82">
            <v>0</v>
          </cell>
          <cell r="M82">
            <v>2</v>
          </cell>
          <cell r="N82">
            <v>0</v>
          </cell>
          <cell r="O82" t="str">
            <v/>
          </cell>
          <cell r="P82">
            <v>0</v>
          </cell>
          <cell r="Q82" t="str">
            <v/>
          </cell>
        </row>
        <row r="83">
          <cell r="A83" t="str">
            <v>Installation n°3</v>
          </cell>
          <cell r="K83">
            <v>0</v>
          </cell>
          <cell r="M83">
            <v>3</v>
          </cell>
          <cell r="N83">
            <v>0</v>
          </cell>
          <cell r="O83" t="str">
            <v/>
          </cell>
          <cell r="P83">
            <v>0</v>
          </cell>
          <cell r="Q83" t="str">
            <v/>
          </cell>
        </row>
        <row r="84">
          <cell r="A84" t="str">
            <v>Installation n°4</v>
          </cell>
          <cell r="K84">
            <v>0</v>
          </cell>
          <cell r="M84">
            <v>4</v>
          </cell>
          <cell r="N84">
            <v>0</v>
          </cell>
          <cell r="O84" t="str">
            <v/>
          </cell>
          <cell r="P84">
            <v>0</v>
          </cell>
          <cell r="Q84" t="str">
            <v/>
          </cell>
        </row>
        <row r="85">
          <cell r="A85" t="str">
            <v>Installation n°5</v>
          </cell>
          <cell r="K85">
            <v>0</v>
          </cell>
          <cell r="M85">
            <v>5</v>
          </cell>
          <cell r="N85">
            <v>0</v>
          </cell>
          <cell r="O85" t="str">
            <v/>
          </cell>
          <cell r="P85">
            <v>0</v>
          </cell>
          <cell r="Q85" t="str">
            <v/>
          </cell>
        </row>
        <row r="86">
          <cell r="A86" t="str">
            <v>Installation n°6</v>
          </cell>
          <cell r="K86">
            <v>0</v>
          </cell>
          <cell r="M86">
            <v>6</v>
          </cell>
          <cell r="N86">
            <v>0</v>
          </cell>
          <cell r="O86" t="str">
            <v/>
          </cell>
          <cell r="P86">
            <v>0</v>
          </cell>
          <cell r="Q86" t="str">
            <v/>
          </cell>
        </row>
        <row r="87">
          <cell r="A87" t="str">
            <v>Installation n°7</v>
          </cell>
          <cell r="K87">
            <v>0</v>
          </cell>
          <cell r="M87">
            <v>7</v>
          </cell>
          <cell r="N87">
            <v>0</v>
          </cell>
          <cell r="O87" t="str">
            <v/>
          </cell>
          <cell r="P87">
            <v>0</v>
          </cell>
          <cell r="Q87" t="str">
            <v/>
          </cell>
        </row>
        <row r="88">
          <cell r="A88" t="str">
            <v>Installation n°8</v>
          </cell>
          <cell r="K88">
            <v>0</v>
          </cell>
          <cell r="M88">
            <v>8</v>
          </cell>
          <cell r="N88">
            <v>0</v>
          </cell>
          <cell r="O88" t="str">
            <v/>
          </cell>
          <cell r="P88">
            <v>0</v>
          </cell>
          <cell r="Q88" t="str">
            <v/>
          </cell>
        </row>
        <row r="89">
          <cell r="A89" t="str">
            <v>Installation n°9</v>
          </cell>
          <cell r="K89">
            <v>0</v>
          </cell>
          <cell r="M89">
            <v>9</v>
          </cell>
          <cell r="N89">
            <v>0</v>
          </cell>
          <cell r="O89" t="str">
            <v/>
          </cell>
          <cell r="P89">
            <v>0</v>
          </cell>
          <cell r="Q89" t="str">
            <v/>
          </cell>
        </row>
        <row r="90">
          <cell r="A90" t="str">
            <v>Installation n°10</v>
          </cell>
          <cell r="K90">
            <v>0</v>
          </cell>
          <cell r="M90">
            <v>10</v>
          </cell>
          <cell r="N90">
            <v>0</v>
          </cell>
          <cell r="O90" t="str">
            <v/>
          </cell>
          <cell r="P90">
            <v>0</v>
          </cell>
          <cell r="Q90" t="str">
            <v/>
          </cell>
        </row>
        <row r="91">
          <cell r="A91" t="str">
            <v>Installation n°11</v>
          </cell>
          <cell r="K91">
            <v>0</v>
          </cell>
          <cell r="M91">
            <v>11</v>
          </cell>
          <cell r="N91">
            <v>0</v>
          </cell>
          <cell r="O91" t="str">
            <v/>
          </cell>
          <cell r="P91">
            <v>0</v>
          </cell>
          <cell r="Q91" t="str">
            <v/>
          </cell>
        </row>
        <row r="92">
          <cell r="A92" t="str">
            <v>Installation n°12</v>
          </cell>
          <cell r="K92">
            <v>0</v>
          </cell>
          <cell r="M92">
            <v>12</v>
          </cell>
          <cell r="N92">
            <v>0</v>
          </cell>
          <cell r="O92" t="str">
            <v/>
          </cell>
          <cell r="P92">
            <v>0</v>
          </cell>
          <cell r="Q92" t="str">
            <v/>
          </cell>
        </row>
        <row r="93">
          <cell r="A93" t="str">
            <v>Installation n°13</v>
          </cell>
          <cell r="K93">
            <v>0</v>
          </cell>
          <cell r="M93">
            <v>13</v>
          </cell>
          <cell r="N93">
            <v>0</v>
          </cell>
          <cell r="O93" t="str">
            <v/>
          </cell>
          <cell r="P93">
            <v>0</v>
          </cell>
          <cell r="Q93" t="str">
            <v/>
          </cell>
        </row>
        <row r="94">
          <cell r="A94" t="str">
            <v>Installation n°14</v>
          </cell>
          <cell r="K94">
            <v>0</v>
          </cell>
          <cell r="M94">
            <v>14</v>
          </cell>
          <cell r="N94">
            <v>0</v>
          </cell>
          <cell r="O94" t="str">
            <v/>
          </cell>
          <cell r="P94">
            <v>0</v>
          </cell>
          <cell r="Q94" t="str">
            <v/>
          </cell>
        </row>
        <row r="95">
          <cell r="A95" t="str">
            <v>Installation n°15</v>
          </cell>
          <cell r="K95">
            <v>0</v>
          </cell>
          <cell r="M95">
            <v>15</v>
          </cell>
          <cell r="N95">
            <v>0</v>
          </cell>
          <cell r="O95" t="str">
            <v/>
          </cell>
          <cell r="P95">
            <v>0</v>
          </cell>
          <cell r="Q95" t="str">
            <v/>
          </cell>
        </row>
        <row r="96">
          <cell r="A96" t="str">
            <v>Installation n°16</v>
          </cell>
          <cell r="K96">
            <v>0</v>
          </cell>
          <cell r="M96">
            <v>16</v>
          </cell>
          <cell r="N96">
            <v>0</v>
          </cell>
          <cell r="O96" t="str">
            <v/>
          </cell>
          <cell r="P96">
            <v>0</v>
          </cell>
          <cell r="Q96" t="str">
            <v/>
          </cell>
        </row>
        <row r="97">
          <cell r="A97" t="str">
            <v>Installation n°17</v>
          </cell>
          <cell r="K97">
            <v>0</v>
          </cell>
          <cell r="M97">
            <v>17</v>
          </cell>
          <cell r="N97">
            <v>0</v>
          </cell>
          <cell r="O97" t="str">
            <v/>
          </cell>
          <cell r="P97">
            <v>0</v>
          </cell>
          <cell r="Q97" t="str">
            <v/>
          </cell>
        </row>
        <row r="98">
          <cell r="A98" t="str">
            <v>Installation n°18</v>
          </cell>
          <cell r="K98">
            <v>0</v>
          </cell>
          <cell r="M98">
            <v>18</v>
          </cell>
          <cell r="N98">
            <v>0</v>
          </cell>
          <cell r="O98" t="str">
            <v/>
          </cell>
          <cell r="P98">
            <v>0</v>
          </cell>
          <cell r="Q98" t="str">
            <v/>
          </cell>
        </row>
        <row r="99">
          <cell r="A99" t="str">
            <v>Installation n°19</v>
          </cell>
          <cell r="K99">
            <v>0</v>
          </cell>
          <cell r="M99">
            <v>19</v>
          </cell>
          <cell r="N99">
            <v>0</v>
          </cell>
          <cell r="O99" t="str">
            <v/>
          </cell>
          <cell r="P99">
            <v>0</v>
          </cell>
          <cell r="Q99" t="str">
            <v/>
          </cell>
        </row>
        <row r="100">
          <cell r="A100" t="str">
            <v>Installation n°20</v>
          </cell>
          <cell r="K100">
            <v>0</v>
          </cell>
          <cell r="M100">
            <v>20</v>
          </cell>
          <cell r="N100">
            <v>0</v>
          </cell>
          <cell r="O100" t="str">
            <v/>
          </cell>
          <cell r="P100">
            <v>0</v>
          </cell>
          <cell r="Q100" t="str">
            <v/>
          </cell>
        </row>
        <row r="101">
          <cell r="A101" t="str">
            <v>Total</v>
          </cell>
          <cell r="G101">
            <v>0</v>
          </cell>
          <cell r="I101">
            <v>0</v>
          </cell>
          <cell r="K101">
            <v>0</v>
          </cell>
        </row>
        <row r="102">
          <cell r="A102" t="str">
            <v>* HTR = Hors TVA Récupérable auprès du Trésor Public ou du Fonds de Compensation de la Taxe sur la Valeur Ajoutée</v>
          </cell>
        </row>
        <row r="104">
          <cell r="A104" t="str">
            <v>INVESTISSEMENTS : GEOTHERMIE DE SURFACE</v>
          </cell>
        </row>
        <row r="106">
          <cell r="A106" t="str">
            <v>Installations</v>
          </cell>
          <cell r="C106" t="str">
            <v>Technologie</v>
          </cell>
          <cell r="G106" t="str">
            <v>Montants des dépenses (HTR*)</v>
          </cell>
          <cell r="I106" t="str">
            <v>Production annuelle envisagée (en MWh/an)</v>
          </cell>
          <cell r="K106" t="str">
            <v>Aide ADEME</v>
          </cell>
        </row>
        <row r="107">
          <cell r="A107" t="str">
            <v>Installation n°1</v>
          </cell>
          <cell r="K107">
            <v>0</v>
          </cell>
          <cell r="M107">
            <v>1</v>
          </cell>
          <cell r="N107">
            <v>0</v>
          </cell>
          <cell r="P107">
            <v>0</v>
          </cell>
          <cell r="Q107" t="str">
            <v/>
          </cell>
        </row>
        <row r="108">
          <cell r="A108" t="str">
            <v>Installation n°2</v>
          </cell>
          <cell r="K108">
            <v>0</v>
          </cell>
          <cell r="M108">
            <v>2</v>
          </cell>
          <cell r="N108">
            <v>0</v>
          </cell>
          <cell r="P108">
            <v>0</v>
          </cell>
          <cell r="Q108" t="str">
            <v/>
          </cell>
        </row>
        <row r="109">
          <cell r="A109" t="str">
            <v>Installation n°3</v>
          </cell>
          <cell r="K109">
            <v>0</v>
          </cell>
          <cell r="M109">
            <v>3</v>
          </cell>
          <cell r="N109">
            <v>0</v>
          </cell>
          <cell r="P109">
            <v>0</v>
          </cell>
          <cell r="Q109" t="str">
            <v/>
          </cell>
        </row>
        <row r="110">
          <cell r="A110" t="str">
            <v>Installation n°4</v>
          </cell>
          <cell r="K110">
            <v>0</v>
          </cell>
          <cell r="M110">
            <v>4</v>
          </cell>
          <cell r="N110">
            <v>0</v>
          </cell>
          <cell r="P110">
            <v>0</v>
          </cell>
          <cell r="Q110" t="str">
            <v/>
          </cell>
        </row>
        <row r="111">
          <cell r="A111" t="str">
            <v>Installation n°5</v>
          </cell>
          <cell r="K111">
            <v>0</v>
          </cell>
          <cell r="M111">
            <v>5</v>
          </cell>
          <cell r="N111">
            <v>0</v>
          </cell>
          <cell r="P111">
            <v>0</v>
          </cell>
          <cell r="Q111" t="str">
            <v/>
          </cell>
        </row>
        <row r="112">
          <cell r="A112" t="str">
            <v>Installation n°6</v>
          </cell>
          <cell r="K112">
            <v>0</v>
          </cell>
          <cell r="M112">
            <v>6</v>
          </cell>
          <cell r="N112">
            <v>0</v>
          </cell>
          <cell r="P112">
            <v>0</v>
          </cell>
          <cell r="Q112" t="str">
            <v/>
          </cell>
        </row>
        <row r="113">
          <cell r="A113" t="str">
            <v>Installation n°7</v>
          </cell>
          <cell r="K113">
            <v>0</v>
          </cell>
          <cell r="M113">
            <v>7</v>
          </cell>
          <cell r="N113">
            <v>0</v>
          </cell>
          <cell r="P113">
            <v>0</v>
          </cell>
          <cell r="Q113" t="str">
            <v/>
          </cell>
        </row>
        <row r="114">
          <cell r="A114" t="str">
            <v>Installation n°8</v>
          </cell>
          <cell r="K114">
            <v>0</v>
          </cell>
          <cell r="M114">
            <v>8</v>
          </cell>
          <cell r="N114">
            <v>0</v>
          </cell>
          <cell r="P114">
            <v>0</v>
          </cell>
          <cell r="Q114" t="str">
            <v/>
          </cell>
        </row>
        <row r="115">
          <cell r="A115" t="str">
            <v>Installation n°9</v>
          </cell>
          <cell r="K115">
            <v>0</v>
          </cell>
          <cell r="M115">
            <v>9</v>
          </cell>
          <cell r="N115">
            <v>0</v>
          </cell>
          <cell r="P115">
            <v>0</v>
          </cell>
          <cell r="Q115" t="str">
            <v/>
          </cell>
        </row>
        <row r="116">
          <cell r="A116" t="str">
            <v>Installation n°10</v>
          </cell>
          <cell r="K116">
            <v>0</v>
          </cell>
          <cell r="M116">
            <v>10</v>
          </cell>
          <cell r="N116">
            <v>0</v>
          </cell>
          <cell r="P116">
            <v>0</v>
          </cell>
          <cell r="Q116" t="str">
            <v/>
          </cell>
        </row>
        <row r="117">
          <cell r="A117" t="str">
            <v>Installation n°11</v>
          </cell>
          <cell r="K117">
            <v>0</v>
          </cell>
          <cell r="M117">
            <v>11</v>
          </cell>
          <cell r="N117">
            <v>0</v>
          </cell>
          <cell r="P117">
            <v>0</v>
          </cell>
          <cell r="Q117" t="str">
            <v/>
          </cell>
        </row>
        <row r="118">
          <cell r="A118" t="str">
            <v>Installation n°12</v>
          </cell>
          <cell r="K118">
            <v>0</v>
          </cell>
          <cell r="M118">
            <v>12</v>
          </cell>
          <cell r="N118">
            <v>0</v>
          </cell>
          <cell r="P118">
            <v>0</v>
          </cell>
          <cell r="Q118" t="str">
            <v/>
          </cell>
        </row>
        <row r="119">
          <cell r="A119" t="str">
            <v>Installation n°13</v>
          </cell>
          <cell r="K119">
            <v>0</v>
          </cell>
          <cell r="M119">
            <v>13</v>
          </cell>
          <cell r="N119">
            <v>0</v>
          </cell>
          <cell r="P119">
            <v>0</v>
          </cell>
          <cell r="Q119" t="str">
            <v/>
          </cell>
        </row>
        <row r="120">
          <cell r="A120" t="str">
            <v>Installation n°14</v>
          </cell>
          <cell r="K120">
            <v>0</v>
          </cell>
          <cell r="M120">
            <v>14</v>
          </cell>
          <cell r="N120">
            <v>0</v>
          </cell>
          <cell r="P120">
            <v>0</v>
          </cell>
          <cell r="Q120" t="str">
            <v/>
          </cell>
        </row>
        <row r="121">
          <cell r="A121" t="str">
            <v>Installation n°15</v>
          </cell>
          <cell r="K121">
            <v>0</v>
          </cell>
          <cell r="M121">
            <v>15</v>
          </cell>
          <cell r="N121">
            <v>0</v>
          </cell>
          <cell r="P121">
            <v>0</v>
          </cell>
          <cell r="Q121" t="str">
            <v/>
          </cell>
        </row>
        <row r="122">
          <cell r="A122" t="str">
            <v>Installation n°16</v>
          </cell>
          <cell r="K122">
            <v>0</v>
          </cell>
          <cell r="M122">
            <v>16</v>
          </cell>
          <cell r="N122">
            <v>0</v>
          </cell>
          <cell r="P122">
            <v>0</v>
          </cell>
          <cell r="Q122" t="str">
            <v/>
          </cell>
        </row>
        <row r="123">
          <cell r="A123" t="str">
            <v>Installation n°17</v>
          </cell>
          <cell r="K123">
            <v>0</v>
          </cell>
          <cell r="M123">
            <v>17</v>
          </cell>
          <cell r="N123">
            <v>0</v>
          </cell>
          <cell r="P123">
            <v>0</v>
          </cell>
          <cell r="Q123" t="str">
            <v/>
          </cell>
        </row>
        <row r="124">
          <cell r="A124" t="str">
            <v>Installation n°18</v>
          </cell>
          <cell r="K124">
            <v>0</v>
          </cell>
          <cell r="M124">
            <v>18</v>
          </cell>
          <cell r="N124">
            <v>0</v>
          </cell>
          <cell r="P124">
            <v>0</v>
          </cell>
          <cell r="Q124" t="str">
            <v/>
          </cell>
        </row>
        <row r="125">
          <cell r="A125" t="str">
            <v>Installation n°19</v>
          </cell>
          <cell r="K125">
            <v>0</v>
          </cell>
          <cell r="M125">
            <v>19</v>
          </cell>
          <cell r="N125">
            <v>0</v>
          </cell>
          <cell r="P125">
            <v>0</v>
          </cell>
          <cell r="Q125" t="str">
            <v/>
          </cell>
        </row>
        <row r="126">
          <cell r="A126" t="str">
            <v>Installation n°20</v>
          </cell>
          <cell r="K126">
            <v>0</v>
          </cell>
          <cell r="M126">
            <v>20</v>
          </cell>
          <cell r="N126">
            <v>0</v>
          </cell>
          <cell r="P126">
            <v>0</v>
          </cell>
          <cell r="Q126" t="str">
            <v/>
          </cell>
        </row>
        <row r="127">
          <cell r="A127" t="str">
            <v>Total</v>
          </cell>
          <cell r="G127">
            <v>0</v>
          </cell>
          <cell r="I127">
            <v>0</v>
          </cell>
          <cell r="K127">
            <v>0</v>
          </cell>
        </row>
        <row r="128">
          <cell r="A128" t="str">
            <v>* HTR = Hors TVA Récupérable auprès du Trésor Public ou du Fonds de Compensation de la Taxe sur la Valeur Ajoutée</v>
          </cell>
        </row>
        <row r="163">
          <cell r="G163">
            <v>150000</v>
          </cell>
        </row>
        <row r="164">
          <cell r="M164">
            <v>0</v>
          </cell>
        </row>
        <row r="165">
          <cell r="M165">
            <v>0</v>
          </cell>
        </row>
        <row r="166">
          <cell r="M166">
            <v>0</v>
          </cell>
        </row>
        <row r="167">
          <cell r="M167">
            <v>0</v>
          </cell>
        </row>
        <row r="168">
          <cell r="M168">
            <v>0</v>
          </cell>
        </row>
        <row r="169">
          <cell r="M169">
            <v>0</v>
          </cell>
        </row>
        <row r="171">
          <cell r="M171">
            <v>0</v>
          </cell>
        </row>
        <row r="172">
          <cell r="M172">
            <v>0</v>
          </cell>
        </row>
        <row r="173">
          <cell r="M173">
            <v>0</v>
          </cell>
        </row>
        <row r="174">
          <cell r="M174">
            <v>0</v>
          </cell>
        </row>
        <row r="176">
          <cell r="M176">
            <v>0</v>
          </cell>
        </row>
        <row r="177">
          <cell r="M177">
            <v>0</v>
          </cell>
        </row>
        <row r="178">
          <cell r="M178">
            <v>0</v>
          </cell>
        </row>
        <row r="179">
          <cell r="M179">
            <v>0</v>
          </cell>
        </row>
        <row r="196">
          <cell r="A196" t="str">
            <v>3.1 Pour les aides aux investissements</v>
          </cell>
        </row>
        <row r="200">
          <cell r="B200" t="str">
            <v xml:space="preserve"> - de 1,25 €/MWh/an sur 20 ans pour les installations biomasse.</v>
          </cell>
        </row>
        <row r="201">
          <cell r="B201" t="e">
            <v>#DIV/0!</v>
          </cell>
        </row>
        <row r="207">
          <cell r="A207" t="str">
            <v>3.2 Pour les aides aux études</v>
          </cell>
        </row>
      </sheetData>
      <sheetData sheetId="1">
        <row r="2">
          <cell r="A2" t="str">
            <v>Oui</v>
          </cell>
          <cell r="B2" t="str">
            <v>Economique</v>
          </cell>
          <cell r="C2" t="str">
            <v>Petite</v>
          </cell>
          <cell r="D2" t="str">
            <v>Métropole</v>
          </cell>
          <cell r="E2" t="str">
            <v>Injection sur réseau urbain</v>
          </cell>
          <cell r="I2" t="str">
            <v>* HTR = Hors TVA Récupérable auprès du Trésor Public ou du Fonds de Compensation de la Taxe sur la Valeur Ajoutée</v>
          </cell>
          <cell r="J2" t="str">
            <v>Territorial</v>
          </cell>
        </row>
        <row r="3">
          <cell r="A3" t="str">
            <v>Non</v>
          </cell>
          <cell r="B3" t="str">
            <v>Non économique</v>
          </cell>
          <cell r="C3" t="str">
            <v>Moyenne</v>
          </cell>
          <cell r="D3" t="str">
            <v>Outre-Mer</v>
          </cell>
          <cell r="E3" t="str">
            <v>Agriculture</v>
          </cell>
          <cell r="G3" t="str">
            <v>Existant</v>
          </cell>
          <cell r="J3" t="str">
            <v>Patrimonial</v>
          </cell>
        </row>
        <row r="4">
          <cell r="C4" t="str">
            <v>Grande</v>
          </cell>
          <cell r="E4" t="str">
            <v>Collectif (hors injection sur réseau urbain)</v>
          </cell>
        </row>
        <row r="5">
          <cell r="E5" t="str">
            <v>Tertiaire (hors injection sur réseau urbain)</v>
          </cell>
        </row>
        <row r="6">
          <cell r="E6" t="str">
            <v>Industrie</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Fiche de vérification"/>
      <sheetName val="Valeurs de reference"/>
      <sheetName val="Fiche de synthèse"/>
      <sheetName val="Aide au calcul"/>
      <sheetName val="listes deroulantes"/>
    </sheetNames>
    <sheetDataSet>
      <sheetData sheetId="0"/>
      <sheetData sheetId="1">
        <row r="16">
          <cell r="B16">
            <v>1</v>
          </cell>
          <cell r="F16">
            <v>12001</v>
          </cell>
        </row>
        <row r="17">
          <cell r="F17" t="str">
            <v>Saisir la valeur</v>
          </cell>
        </row>
        <row r="19">
          <cell r="F19" t="str">
            <v>Saisir la valeur</v>
          </cell>
        </row>
        <row r="23">
          <cell r="F23" t="str">
            <v>Saisir la valeur</v>
          </cell>
        </row>
        <row r="63">
          <cell r="F63" t="str">
            <v>Saisir la valeur</v>
          </cell>
        </row>
        <row r="65">
          <cell r="F65" t="str">
            <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Accueil et légendes"/>
      <sheetName val="Fiche projet biomasse"/>
      <sheetName val="Aide ratios"/>
      <sheetName val="Simulation FC"/>
      <sheetName val="menus biomasse"/>
      <sheetName val="Aide qualité"/>
      <sheetName val="Valeurs de reference"/>
    </sheetNames>
    <sheetDataSet>
      <sheetData sheetId="0" refreshError="1"/>
      <sheetData sheetId="1" refreshError="1"/>
      <sheetData sheetId="2" refreshError="1"/>
      <sheetData sheetId="3" refreshError="1"/>
      <sheetData sheetId="4" refreshError="1">
        <row r="8">
          <cell r="E8">
            <v>0</v>
          </cell>
        </row>
      </sheetData>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Fiche de vérification"/>
      <sheetName val="Valeurs de reference"/>
      <sheetName val="Fiche de synthèse"/>
      <sheetName val="Aide au calcul"/>
      <sheetName val="listes deroulantes"/>
    </sheetNames>
    <sheetDataSet>
      <sheetData sheetId="0"/>
      <sheetData sheetId="1">
        <row r="16">
          <cell r="B16">
            <v>1</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LAFAYE Nelly" id="{3EB6F4B9-1DB9-4363-B62F-611E1FF7F5C8}" userId="S::nelly.lafaye@ademe.fr::493cb276-f3a5-4c2f-8e62-e9b0f9a29f0a" providerId="AD"/>
  <person displayName="HAMADOU Hakim" id="{3E1B163C-7D81-4741-8C42-A4D04C354974}" userId="S::hakim.hamadou@ademe.fr::5336dc64-cfcd-4e7b-8804-5a6a410b4ab3" providerId="AD"/>
</personList>
</file>

<file path=xl/tables/table1.xml><?xml version="1.0" encoding="utf-8"?>
<table xmlns="http://schemas.openxmlformats.org/spreadsheetml/2006/main" id="1" name="G_dpe" displayName="G_dpe" ref="A5:A14" totalsRowShown="0" headerRowDxfId="196" dataDxfId="195">
  <autoFilter ref="A5:A14"/>
  <tableColumns count="1">
    <tableColumn id="1" name="DPE" dataDxfId="194"/>
  </tableColumns>
  <tableStyleInfo name="TableStyleLight21" showFirstColumn="0" showLastColumn="0" showRowStripes="1" showColumnStripes="0"/>
</table>
</file>

<file path=xl/tables/table10.xml><?xml version="1.0" encoding="utf-8"?>
<table xmlns="http://schemas.openxmlformats.org/spreadsheetml/2006/main" id="13" name="B_typedemaitredouvrage" displayName="B_typedemaitredouvrage" ref="V5:V12" totalsRowShown="0" headerRowDxfId="169" dataDxfId="168">
  <autoFilter ref="V5:V12"/>
  <tableColumns count="1">
    <tableColumn id="1" name="Type de maître d'ouvrage" dataDxfId="167"/>
  </tableColumns>
  <tableStyleInfo name="TableStyleMedium2" showFirstColumn="0" showLastColumn="0" showRowStripes="1" showColumnStripes="0"/>
</table>
</file>

<file path=xl/tables/table11.xml><?xml version="1.0" encoding="utf-8"?>
<table xmlns="http://schemas.openxmlformats.org/spreadsheetml/2006/main" id="14" name="B_typedaide" displayName="B_typedaide" ref="X5:X9" totalsRowShown="0" headerRowDxfId="166" dataDxfId="165">
  <autoFilter ref="X5:X9"/>
  <tableColumns count="1">
    <tableColumn id="1" name="Type d'aide" dataDxfId="164"/>
  </tableColumns>
  <tableStyleInfo name="TableStyleMedium2" showFirstColumn="0" showLastColumn="0" showRowStripes="1" showColumnStripes="0"/>
</table>
</file>

<file path=xl/tables/table12.xml><?xml version="1.0" encoding="utf-8"?>
<table xmlns="http://schemas.openxmlformats.org/spreadsheetml/2006/main" id="15" name="G_typebatiment" displayName="G_typebatiment" ref="Z5:Z9" totalsRowShown="0" headerRowDxfId="163" dataDxfId="162">
  <autoFilter ref="Z5:Z9"/>
  <tableColumns count="1">
    <tableColumn id="1" name="Type bâtiment" dataDxfId="161"/>
  </tableColumns>
  <tableStyleInfo name="TableStyleLight21" showFirstColumn="0" showLastColumn="0" showRowStripes="1" showColumnStripes="0"/>
</table>
</file>

<file path=xl/tables/table13.xml><?xml version="1.0" encoding="utf-8"?>
<table xmlns="http://schemas.openxmlformats.org/spreadsheetml/2006/main" id="17" name="G_usagestertiaire" displayName="G_usagestertiaire" ref="AB5:AB9" totalsRowShown="0" headerRowDxfId="160" dataDxfId="159">
  <autoFilter ref="AB5:AB9"/>
  <tableColumns count="1">
    <tableColumn id="1" name="Usages tertiaire" dataDxfId="158"/>
  </tableColumns>
  <tableStyleInfo name="TableStyleLight21" showFirstColumn="0" showLastColumn="0" showRowStripes="1" showColumnStripes="0"/>
</table>
</file>

<file path=xl/tables/table14.xml><?xml version="1.0" encoding="utf-8"?>
<table xmlns="http://schemas.openxmlformats.org/spreadsheetml/2006/main" id="5" name="etapesdossier" displayName="etapesdossier" ref="AG5:AG8" totalsRowShown="0" headerRowDxfId="157" dataDxfId="156">
  <autoFilter ref="AG5:AG8"/>
  <tableColumns count="1">
    <tableColumn id="1" name="Etapes_dossier" dataDxfId="155"/>
  </tableColumns>
  <tableStyleInfo name="TableStyleLight7" showFirstColumn="0" showLastColumn="0" showRowStripes="1" showColumnStripes="0"/>
</table>
</file>

<file path=xl/tables/table15.xml><?xml version="1.0" encoding="utf-8"?>
<table xmlns="http://schemas.openxmlformats.org/spreadsheetml/2006/main" id="16" name="G_usage" displayName="G_usage" ref="H5:H10" totalsRowShown="0" headerRowDxfId="154" dataDxfId="153" tableBorderDxfId="152">
  <autoFilter ref="H5:H10"/>
  <tableColumns count="1">
    <tableColumn id="1" name="Usage" dataDxfId="151"/>
  </tableColumns>
  <tableStyleInfo name="TableStyleMedium7" showFirstColumn="0" showLastColumn="0" showRowStripes="1" showColumnStripes="0"/>
</table>
</file>

<file path=xl/tables/table16.xml><?xml version="1.0" encoding="utf-8"?>
<table xmlns="http://schemas.openxmlformats.org/spreadsheetml/2006/main" id="18" name="G_bat" displayName="G_bat" ref="AI5:AI9" totalsRowShown="0" headerRowDxfId="150" dataDxfId="149">
  <autoFilter ref="AI5:AI9"/>
  <tableColumns count="1">
    <tableColumn id="1" name="Bâtiments géocooling" dataDxfId="148"/>
  </tableColumns>
  <tableStyleInfo name="TableStyleLight21" showFirstColumn="0" showLastColumn="0" showRowStripes="1" showColumnStripes="0"/>
</table>
</file>

<file path=xl/tables/table2.xml><?xml version="1.0" encoding="utf-8"?>
<table xmlns="http://schemas.openxmlformats.org/spreadsheetml/2006/main" id="2" name="G_ouinon" displayName="G_ouinon" ref="C5:C9" totalsRowShown="0" headerRowDxfId="193" dataDxfId="192">
  <autoFilter ref="C5:C9"/>
  <tableColumns count="1">
    <tableColumn id="1" name="Oui/non" dataDxfId="191"/>
  </tableColumns>
  <tableStyleInfo name="TableStyleLight21" showFirstColumn="0" showLastColumn="0" showRowStripes="1" showColumnStripes="0"/>
</table>
</file>

<file path=xl/tables/table3.xml><?xml version="1.0" encoding="utf-8"?>
<table xmlns="http://schemas.openxmlformats.org/spreadsheetml/2006/main" id="6" name="G_ouinonconcerne" displayName="G_ouinonconcerne" ref="F5:F9" totalsRowShown="0" headerRowDxfId="190" dataDxfId="189">
  <autoFilter ref="F5:F9"/>
  <tableColumns count="1">
    <tableColumn id="1" name="Oui/non concerne" dataDxfId="188"/>
  </tableColumns>
  <tableStyleInfo name="TableStyleLight21" showFirstColumn="0" showLastColumn="0" showRowStripes="1" showColumnStripes="0"/>
</table>
</file>

<file path=xl/tables/table4.xml><?xml version="1.0" encoding="utf-8"?>
<table xmlns="http://schemas.openxmlformats.org/spreadsheetml/2006/main" id="7" name="B_neufexistant" displayName="B_neufexistant" ref="J5:J9" totalsRowShown="0" headerRowDxfId="187" dataDxfId="186">
  <autoFilter ref="J5:J9"/>
  <tableColumns count="1">
    <tableColumn id="1" name="Neuf/Existant" dataDxfId="185"/>
  </tableColumns>
  <tableStyleInfo name="TableStyleLight21" showFirstColumn="0" showLastColumn="0" showRowStripes="1" showColumnStripes="0"/>
</table>
</file>

<file path=xl/tables/table5.xml><?xml version="1.0" encoding="utf-8"?>
<table xmlns="http://schemas.openxmlformats.org/spreadsheetml/2006/main" id="8" name="G_travaux" displayName="G_travaux" ref="L5:L9" totalsRowShown="0" headerRowDxfId="184" dataDxfId="183">
  <autoFilter ref="L5:L9"/>
  <tableColumns count="1">
    <tableColumn id="1" name="Travaux" dataDxfId="182"/>
  </tableColumns>
  <tableStyleInfo name="TableStyleLight7" showFirstColumn="0" showLastColumn="0" showRowStripes="1" showColumnStripes="0"/>
</table>
</file>

<file path=xl/tables/table6.xml><?xml version="1.0" encoding="utf-8"?>
<table xmlns="http://schemas.openxmlformats.org/spreadsheetml/2006/main" id="9" name="G_referent" displayName="G_referent" ref="N5:N9" totalsRowShown="0" headerRowDxfId="181" dataDxfId="180">
  <autoFilter ref="N5:N9"/>
  <tableColumns count="1">
    <tableColumn id="1" name="Referent" dataDxfId="179"/>
  </tableColumns>
  <tableStyleInfo name="TableStyleLight21" showFirstColumn="0" showLastColumn="0" showRowStripes="1" showColumnStripes="0"/>
</table>
</file>

<file path=xl/tables/table7.xml><?xml version="1.0" encoding="utf-8"?>
<table xmlns="http://schemas.openxmlformats.org/spreadsheetml/2006/main" id="10" name="B_traitementpoussieres" displayName="B_traitementpoussieres" ref="P5:P10" totalsRowShown="0" headerRowDxfId="178" dataDxfId="177">
  <autoFilter ref="P5:P10"/>
  <tableColumns count="1">
    <tableColumn id="1" name="A demander hydrogéologie" dataDxfId="176"/>
  </tableColumns>
  <tableStyleInfo name="TableStyleLight21" showFirstColumn="0" showLastColumn="0" showRowStripes="1" showColumnStripes="0"/>
</table>
</file>

<file path=xl/tables/table8.xml><?xml version="1.0" encoding="utf-8"?>
<table xmlns="http://schemas.openxmlformats.org/spreadsheetml/2006/main" id="11" name="G_typedetravaux" displayName="G_typedetravaux" ref="R5:R10" totalsRowShown="0" headerRowDxfId="175" dataDxfId="174">
  <autoFilter ref="R5:R10"/>
  <tableColumns count="1">
    <tableColumn id="1" name="Type de travaux" dataDxfId="173"/>
  </tableColumns>
  <tableStyleInfo name="TableStyleLight21" showFirstColumn="0" showLastColumn="0" showRowStripes="1" showColumnStripes="0"/>
</table>
</file>

<file path=xl/tables/table9.xml><?xml version="1.0" encoding="utf-8"?>
<table xmlns="http://schemas.openxmlformats.org/spreadsheetml/2006/main" id="12" name="G_methodedecalcul" displayName="G_methodedecalcul" ref="T5:T9" totalsRowShown="0" headerRowDxfId="172" dataDxfId="171">
  <autoFilter ref="T5:T9"/>
  <tableColumns count="1">
    <tableColumn id="1" name="Methode de calcul" dataDxfId="170"/>
  </tableColumns>
  <tableStyleInfo name="TableStyleLight2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8" dT="2022-07-11T14:30:35.10" personId="{3EB6F4B9-1DB9-4363-B62F-611E1FF7F5C8}" id="{95BFDBD5-A49A-4BA1-B2EB-B65C19D2689F}">
    <text>Qualification nécessaire : sous-sol (1007) et/ou fluide (2013)
Attention projet sur nappe : hydrogréologue obligatoire en plus du BE fluide</text>
  </threadedComment>
</ThreadedComments>
</file>

<file path=xl/threadedComments/threadedComment2.xml><?xml version="1.0" encoding="utf-8"?>
<ThreadedComments xmlns="http://schemas.microsoft.com/office/spreadsheetml/2018/threadedcomments" xmlns:x="http://schemas.openxmlformats.org/spreadsheetml/2006/main">
  <threadedComment ref="K13" dT="2022-11-29T20:14:59.31" personId="{3E1B163C-7D81-4741-8C42-A4D04C354974}" id="{6F0982B3-0C7A-4750-855F-3960D1553164}">
    <text>A venir FC 2023</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9.bin"/><Relationship Id="rId7" Type="http://schemas.openxmlformats.org/officeDocument/2006/relationships/image" Target="../media/image5.emf"/><Relationship Id="rId2" Type="http://schemas.openxmlformats.org/officeDocument/2006/relationships/hyperlink" Target="https://www.ademe.fr/sites/default/files/assets/documents/bdd_chaudieres_fc_avril2020.zip" TargetMode="External"/><Relationship Id="rId1" Type="http://schemas.openxmlformats.org/officeDocument/2006/relationships/hyperlink" Target="https://www.ademe.fr/sites/default/files/assets/documents/guide-biomasse-qualite-approvisionnements-010367.pdf" TargetMode="External"/><Relationship Id="rId6" Type="http://schemas.openxmlformats.org/officeDocument/2006/relationships/package" Target="../embeddings/Microsoft_Word_Document2.docx"/><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s://www.ademe.fr/sites/default/files/assets/documents/guide-biomasse-qualite-approvisionnements-010367.pdf" TargetMode="External"/><Relationship Id="rId7" Type="http://schemas.openxmlformats.org/officeDocument/2006/relationships/vmlDrawing" Target="../drawings/vmlDrawing7.vml"/><Relationship Id="rId2" Type="http://schemas.openxmlformats.org/officeDocument/2006/relationships/hyperlink" Target="https://www.ademe.fr/sites/default/files/assets/documents/bdd_chaudieres_biomasse.zip" TargetMode="External"/><Relationship Id="rId1" Type="http://schemas.openxmlformats.org/officeDocument/2006/relationships/hyperlink" Target="https://www.ademe.fr/sites/default/files/assets/documents/guide-biomasse-qualite-approvisionnements-010367.pdf" TargetMode="External"/><Relationship Id="rId6" Type="http://schemas.openxmlformats.org/officeDocument/2006/relationships/drawing" Target="../drawings/drawing8.xml"/><Relationship Id="rId5" Type="http://schemas.openxmlformats.org/officeDocument/2006/relationships/printerSettings" Target="../printerSettings/printerSettings11.bin"/><Relationship Id="rId4" Type="http://schemas.openxmlformats.org/officeDocument/2006/relationships/hyperlink" Target="https://www.ademe.fr/sites/default/files/assets/documents/bdd_chaudieres_fc_avril2020.zip"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bin"/><Relationship Id="rId7" Type="http://schemas.openxmlformats.org/officeDocument/2006/relationships/image" Target="../media/image2.emf"/><Relationship Id="rId2" Type="http://schemas.openxmlformats.org/officeDocument/2006/relationships/hyperlink" Target="https://www.ademe.fr/sites/default/files/assets/documents/bdd_chaudieres_fc_avril2020.zip" TargetMode="External"/><Relationship Id="rId1" Type="http://schemas.openxmlformats.org/officeDocument/2006/relationships/hyperlink" Target="https://www.ademe.fr/sites/default/files/assets/documents/guide-biomasse-qualite-approvisionnements-010367.pdf"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4.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omments" Target="../comments3.xml"/><Relationship Id="rId2" Type="http://schemas.openxmlformats.org/officeDocument/2006/relationships/hyperlink" Target="http://www.geothermie-perspectives.fr/" TargetMode="External"/><Relationship Id="rId16" Type="http://schemas.openxmlformats.org/officeDocument/2006/relationships/ctrlProp" Target="../ctrlProps/ctrlProp11.xml"/><Relationship Id="rId1" Type="http://schemas.openxmlformats.org/officeDocument/2006/relationships/hyperlink" Target="http://www.developpement-durable.gouv.fr/La-reglementation-nationale.html"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3.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omments" Target="../comments4.xml"/><Relationship Id="rId3" Type="http://schemas.openxmlformats.org/officeDocument/2006/relationships/drawing" Target="../drawings/drawing4.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printerSettings" Target="../printerSettings/printerSettings5.bin"/><Relationship Id="rId16" Type="http://schemas.openxmlformats.org/officeDocument/2006/relationships/ctrlProp" Target="../ctrlProps/ctrlProp23.xml"/><Relationship Id="rId1" Type="http://schemas.openxmlformats.org/officeDocument/2006/relationships/hyperlink" Target="http://www.developpement-durable.gouv.fr/La-reglementation-nationale.html"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microsoft.com/office/2017/10/relationships/threadedComment" Target="../threadedComments/threadedComment1.xml"/><Relationship Id="rId4" Type="http://schemas.openxmlformats.org/officeDocument/2006/relationships/vmlDrawing" Target="../drawings/vmlDrawing4.v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S53"/>
  <sheetViews>
    <sheetView zoomScaleNormal="100" workbookViewId="0">
      <selection activeCell="I9" sqref="I9"/>
    </sheetView>
  </sheetViews>
  <sheetFormatPr defaultColWidth="11.5546875" defaultRowHeight="14.4"/>
  <cols>
    <col min="1" max="1" width="12.5546875" customWidth="1"/>
    <col min="2" max="2" width="24.88671875" customWidth="1"/>
    <col min="7" max="19" width="11.44140625" style="1"/>
  </cols>
  <sheetData>
    <row r="1" spans="1:9" ht="19.5" customHeight="1">
      <c r="A1" s="1744" t="s">
        <v>0</v>
      </c>
      <c r="B1" s="1744"/>
      <c r="C1" s="1744"/>
      <c r="D1" s="1744"/>
      <c r="E1" s="1744"/>
      <c r="F1" s="1744"/>
      <c r="I1" s="26" t="s">
        <v>44</v>
      </c>
    </row>
    <row r="2" spans="1:9" ht="19.5" customHeight="1">
      <c r="A2" s="25"/>
      <c r="B2" s="25"/>
      <c r="C2" s="25" t="s">
        <v>130</v>
      </c>
      <c r="D2" s="25"/>
      <c r="E2" s="25"/>
      <c r="F2" s="25"/>
      <c r="I2" s="21" t="s">
        <v>106</v>
      </c>
    </row>
    <row r="3" spans="1:9" ht="19.5" customHeight="1">
      <c r="A3" s="25"/>
      <c r="B3" s="25"/>
      <c r="C3" s="25"/>
      <c r="D3" s="25"/>
      <c r="E3" s="25"/>
      <c r="F3" s="25"/>
      <c r="I3" s="22" t="s">
        <v>45</v>
      </c>
    </row>
    <row r="4" spans="1:9" ht="50.25" customHeight="1" thickBot="1">
      <c r="A4" s="25"/>
      <c r="B4" s="25"/>
      <c r="C4" s="25"/>
      <c r="D4" s="25"/>
      <c r="E4" s="25"/>
      <c r="F4" s="25"/>
      <c r="I4" s="22"/>
    </row>
    <row r="5" spans="1:9" ht="20.25" customHeight="1" thickBot="1">
      <c r="A5" s="1749" t="s">
        <v>113</v>
      </c>
      <c r="B5" s="1750"/>
      <c r="C5" s="1750"/>
      <c r="D5" s="1750"/>
      <c r="E5" s="1750"/>
      <c r="F5" s="1751"/>
      <c r="I5" s="22"/>
    </row>
    <row r="6" spans="1:9" ht="20.25" customHeight="1" thickBot="1">
      <c r="A6" s="34" t="s">
        <v>131</v>
      </c>
      <c r="B6" s="30"/>
      <c r="C6" s="31"/>
      <c r="D6" s="31"/>
      <c r="E6" s="31"/>
      <c r="F6" s="32"/>
      <c r="I6" t="s">
        <v>107</v>
      </c>
    </row>
    <row r="7" spans="1:9" ht="20.25" customHeight="1" thickBot="1">
      <c r="A7" s="23" t="s">
        <v>132</v>
      </c>
      <c r="B7" s="30"/>
      <c r="C7" s="31"/>
      <c r="D7" s="31"/>
      <c r="E7" s="31"/>
      <c r="F7" s="32"/>
      <c r="I7" s="28" t="s">
        <v>133</v>
      </c>
    </row>
    <row r="8" spans="1:9" ht="15" thickBot="1">
      <c r="A8" s="1752" t="s">
        <v>1</v>
      </c>
      <c r="B8" s="1753"/>
      <c r="C8" s="1753"/>
      <c r="D8" s="1753"/>
      <c r="E8" s="1753"/>
      <c r="F8" s="1754"/>
      <c r="I8" s="10" t="s">
        <v>134</v>
      </c>
    </row>
    <row r="9" spans="1:9" ht="48" customHeight="1" thickBot="1">
      <c r="A9" s="1755" t="s">
        <v>114</v>
      </c>
      <c r="B9" s="1756"/>
      <c r="C9" s="1756"/>
      <c r="D9" s="1756"/>
      <c r="E9" s="1756"/>
      <c r="F9" s="1756"/>
    </row>
    <row r="10" spans="1:9" ht="15" thickBot="1">
      <c r="A10" s="1752" t="s">
        <v>2</v>
      </c>
      <c r="B10" s="1753"/>
      <c r="C10" s="1753"/>
      <c r="D10" s="1753"/>
      <c r="E10" s="1753"/>
      <c r="F10" s="1754"/>
    </row>
    <row r="11" spans="1:9" ht="15" thickBot="1">
      <c r="A11" s="1757" t="s">
        <v>98</v>
      </c>
      <c r="B11" s="1758"/>
      <c r="C11" s="1758"/>
      <c r="D11" s="1758"/>
      <c r="E11" s="1758"/>
      <c r="F11" s="1758"/>
    </row>
    <row r="12" spans="1:9" ht="15" thickBot="1">
      <c r="A12" s="1747" t="s">
        <v>42</v>
      </c>
      <c r="B12" s="1748"/>
      <c r="C12" s="1762">
        <v>43955</v>
      </c>
      <c r="D12" s="1763"/>
      <c r="E12" s="1763"/>
      <c r="F12" s="1748"/>
    </row>
    <row r="13" spans="1:9" ht="15" thickBot="1">
      <c r="A13" s="1745" t="s">
        <v>97</v>
      </c>
      <c r="B13" s="1746"/>
      <c r="C13" s="1759" t="s">
        <v>41</v>
      </c>
      <c r="D13" s="1760"/>
      <c r="E13" s="1760"/>
      <c r="F13" s="1761"/>
      <c r="G13" s="29" t="s">
        <v>145</v>
      </c>
    </row>
    <row r="14" spans="1:9" ht="15" thickBot="1">
      <c r="A14" s="1747" t="s">
        <v>3</v>
      </c>
      <c r="B14" s="1748"/>
      <c r="C14" s="1764"/>
      <c r="D14" s="1765"/>
      <c r="E14" s="1765"/>
      <c r="F14" s="1766"/>
    </row>
    <row r="15" spans="1:9">
      <c r="A15" s="1"/>
      <c r="B15" s="1"/>
      <c r="C15" s="1"/>
      <c r="D15" s="1"/>
      <c r="E15" s="1"/>
      <c r="F15" s="1"/>
    </row>
    <row r="16" spans="1:9">
      <c r="A16" s="1"/>
      <c r="B16" s="1"/>
      <c r="C16" s="10" t="str">
        <f>IF(C14="Biomasse sans réseau de chaleur","Cliquer ici","")</f>
        <v/>
      </c>
      <c r="D16" s="1"/>
      <c r="E16" s="1"/>
    </row>
    <row r="17" spans="1:8">
      <c r="A17" s="1"/>
      <c r="B17" s="1"/>
      <c r="C17" s="10" t="str">
        <f>IF(C14="Biomasse avec réseau de chaleur","Cliquer ici","")</f>
        <v/>
      </c>
      <c r="D17" s="1"/>
      <c r="E17" s="1"/>
      <c r="F17" s="1"/>
    </row>
    <row r="18" spans="1:8">
      <c r="A18" s="1"/>
      <c r="B18" s="1"/>
      <c r="C18" s="10" t="str">
        <f>IF(C14="Géothermie","Cliquer ici","")</f>
        <v/>
      </c>
      <c r="D18" s="1"/>
      <c r="E18" s="1"/>
      <c r="F18" s="1"/>
    </row>
    <row r="19" spans="1:8">
      <c r="A19" s="1"/>
      <c r="B19" s="1"/>
      <c r="C19" s="10" t="str">
        <f>IF(C14="Solaire thermique","Cliquer ici","")</f>
        <v/>
      </c>
      <c r="D19" s="1"/>
      <c r="E19" s="10" t="s">
        <v>105</v>
      </c>
      <c r="F19" s="1"/>
    </row>
    <row r="20" spans="1:8">
      <c r="A20" s="1"/>
      <c r="B20" s="1"/>
      <c r="C20" s="1"/>
      <c r="D20" s="1"/>
      <c r="E20" s="1"/>
      <c r="F20" s="1"/>
    </row>
    <row r="21" spans="1:8">
      <c r="A21" s="1"/>
      <c r="B21" s="1"/>
      <c r="C21" s="1"/>
      <c r="D21" s="1"/>
      <c r="E21" s="1"/>
      <c r="F21" s="1"/>
    </row>
    <row r="22" spans="1:8">
      <c r="A22" s="1"/>
      <c r="B22" s="1"/>
      <c r="C22" s="1"/>
      <c r="D22" s="1"/>
      <c r="E22" s="1"/>
      <c r="F22" s="1"/>
    </row>
    <row r="23" spans="1:8">
      <c r="A23" s="1"/>
      <c r="B23" s="1"/>
      <c r="C23" s="1"/>
      <c r="D23" s="1"/>
      <c r="E23" s="1"/>
      <c r="F23" s="1"/>
    </row>
    <row r="24" spans="1:8">
      <c r="A24" s="1"/>
      <c r="B24" s="41" t="s">
        <v>116</v>
      </c>
      <c r="C24" s="42"/>
      <c r="D24" s="42"/>
      <c r="E24" s="42"/>
      <c r="F24" s="43" t="s">
        <v>115</v>
      </c>
      <c r="G24" s="42"/>
      <c r="H24" s="42"/>
    </row>
    <row r="25" spans="1:8">
      <c r="A25" s="1"/>
      <c r="B25" s="1"/>
      <c r="C25" s="1"/>
      <c r="D25" s="1"/>
      <c r="E25" s="1"/>
      <c r="F25" s="1"/>
    </row>
    <row r="26" spans="1:8">
      <c r="A26" s="1"/>
      <c r="B26" s="1"/>
      <c r="C26" s="1"/>
      <c r="D26" s="1"/>
      <c r="E26" s="1"/>
      <c r="F26" s="1"/>
    </row>
    <row r="27" spans="1:8">
      <c r="A27" s="1"/>
      <c r="B27" s="1"/>
      <c r="C27" s="1"/>
      <c r="D27" s="1"/>
      <c r="E27" s="1"/>
      <c r="F27" s="1"/>
    </row>
    <row r="28" spans="1:8">
      <c r="A28" s="1"/>
      <c r="B28" s="1"/>
      <c r="C28" s="1"/>
      <c r="D28" s="1"/>
      <c r="E28" s="1"/>
      <c r="F28" s="1"/>
    </row>
    <row r="29" spans="1:8">
      <c r="A29" s="1"/>
      <c r="B29" s="1"/>
      <c r="C29" s="1"/>
      <c r="D29" s="1"/>
      <c r="E29" s="1"/>
      <c r="F29" s="1"/>
    </row>
    <row r="30" spans="1:8">
      <c r="A30" s="1"/>
      <c r="B30" s="1"/>
      <c r="C30" s="1"/>
      <c r="D30" s="1"/>
      <c r="E30" s="1"/>
      <c r="F30" s="1"/>
    </row>
    <row r="31" spans="1:8">
      <c r="A31" s="1"/>
      <c r="B31" s="1"/>
      <c r="C31" s="1"/>
      <c r="D31" s="1"/>
      <c r="E31" s="1"/>
      <c r="F31" s="1"/>
    </row>
    <row r="32" spans="1:8">
      <c r="A32" s="1"/>
      <c r="B32" s="1"/>
      <c r="C32" s="1"/>
      <c r="D32" s="1"/>
      <c r="E32" s="1"/>
      <c r="F32" s="1"/>
    </row>
    <row r="33" spans="1:6">
      <c r="A33" s="1"/>
      <c r="B33" s="1"/>
      <c r="C33" s="1"/>
      <c r="D33" s="1"/>
      <c r="E33" s="1"/>
      <c r="F33" s="1"/>
    </row>
    <row r="34" spans="1:6">
      <c r="A34" s="1"/>
      <c r="B34" s="1"/>
      <c r="C34" s="1"/>
      <c r="D34" s="1"/>
      <c r="E34" s="1"/>
      <c r="F34" s="1"/>
    </row>
    <row r="35" spans="1:6">
      <c r="A35" s="1"/>
      <c r="B35" s="1"/>
      <c r="C35" s="1"/>
      <c r="D35" s="1"/>
      <c r="E35" s="1"/>
      <c r="F35" s="1"/>
    </row>
    <row r="36" spans="1:6">
      <c r="A36" s="1"/>
      <c r="B36" s="1"/>
      <c r="C36" s="1"/>
      <c r="D36" s="1"/>
      <c r="E36" s="1"/>
      <c r="F36" s="1"/>
    </row>
    <row r="37" spans="1:6">
      <c r="A37" s="1"/>
      <c r="B37" s="1"/>
      <c r="C37" s="1"/>
      <c r="D37" s="1"/>
      <c r="E37" s="1"/>
      <c r="F37" s="1"/>
    </row>
    <row r="38" spans="1:6">
      <c r="A38" s="1"/>
      <c r="B38" s="1"/>
      <c r="C38" s="1"/>
      <c r="D38" s="1"/>
      <c r="E38" s="1"/>
      <c r="F38" s="1"/>
    </row>
    <row r="39" spans="1:6">
      <c r="A39" s="1"/>
      <c r="B39" s="1"/>
      <c r="C39" s="1"/>
      <c r="D39" s="1"/>
      <c r="E39" s="1"/>
      <c r="F39" s="1"/>
    </row>
    <row r="40" spans="1:6">
      <c r="A40" s="1"/>
      <c r="B40" s="1"/>
      <c r="C40" s="1"/>
      <c r="D40" s="1"/>
      <c r="E40" s="1"/>
      <c r="F40" s="1"/>
    </row>
    <row r="41" spans="1:6">
      <c r="A41" s="1"/>
      <c r="B41" s="1"/>
      <c r="C41" s="1"/>
      <c r="D41" s="1"/>
      <c r="E41" s="1"/>
      <c r="F41" s="1"/>
    </row>
    <row r="42" spans="1:6">
      <c r="A42" s="1"/>
      <c r="B42" s="1"/>
      <c r="C42" s="1"/>
      <c r="D42" s="1"/>
      <c r="E42" s="1"/>
      <c r="F42" s="1"/>
    </row>
    <row r="43" spans="1:6">
      <c r="A43" s="1"/>
      <c r="B43" s="1"/>
      <c r="C43" s="1"/>
      <c r="D43" s="1"/>
      <c r="E43" s="1"/>
      <c r="F43" s="1"/>
    </row>
    <row r="44" spans="1:6">
      <c r="A44" s="1"/>
      <c r="B44" s="1"/>
      <c r="C44" s="1"/>
      <c r="D44" s="1"/>
      <c r="E44" s="1"/>
      <c r="F44" s="1"/>
    </row>
    <row r="45" spans="1:6">
      <c r="A45" s="1"/>
      <c r="B45" s="1"/>
      <c r="C45" s="1"/>
      <c r="D45" s="1"/>
      <c r="E45" s="1"/>
      <c r="F45" s="1"/>
    </row>
    <row r="46" spans="1:6">
      <c r="A46" s="1"/>
      <c r="B46" s="1"/>
      <c r="C46" s="1"/>
      <c r="D46" s="1"/>
      <c r="E46" s="1"/>
      <c r="F46" s="1"/>
    </row>
    <row r="47" spans="1:6">
      <c r="A47" s="1"/>
      <c r="B47" s="1"/>
      <c r="C47" s="1"/>
      <c r="D47" s="1"/>
      <c r="E47" s="1"/>
      <c r="F47" s="1"/>
    </row>
    <row r="48" spans="1:6">
      <c r="A48" s="1"/>
      <c r="B48" s="1"/>
      <c r="C48" s="1"/>
      <c r="D48" s="1"/>
      <c r="E48" s="1"/>
      <c r="F48" s="1"/>
    </row>
    <row r="49" spans="1:6">
      <c r="A49" s="1"/>
      <c r="B49" s="1"/>
      <c r="C49" s="1"/>
      <c r="D49" s="1"/>
      <c r="E49" s="1"/>
      <c r="F49" s="1"/>
    </row>
    <row r="50" spans="1:6">
      <c r="A50" s="1"/>
      <c r="B50" s="1"/>
      <c r="C50" s="1"/>
      <c r="D50" s="1"/>
      <c r="E50" s="1"/>
      <c r="F50" s="1"/>
    </row>
    <row r="51" spans="1:6">
      <c r="A51" s="1"/>
      <c r="B51" s="1"/>
      <c r="C51" s="1"/>
      <c r="D51" s="1"/>
      <c r="E51" s="1"/>
      <c r="F51" s="1"/>
    </row>
    <row r="52" spans="1:6">
      <c r="A52" s="1"/>
      <c r="B52" s="1"/>
      <c r="C52" s="1"/>
      <c r="D52" s="1"/>
      <c r="E52" s="1"/>
      <c r="F52" s="1"/>
    </row>
    <row r="53" spans="1:6">
      <c r="A53" s="1"/>
      <c r="B53" s="1"/>
      <c r="C53" s="1"/>
      <c r="D53" s="1"/>
      <c r="E53" s="1"/>
      <c r="F53" s="1"/>
    </row>
  </sheetData>
  <mergeCells count="12">
    <mergeCell ref="A1:F1"/>
    <mergeCell ref="A13:B13"/>
    <mergeCell ref="A14:B14"/>
    <mergeCell ref="A5:F5"/>
    <mergeCell ref="A8:F8"/>
    <mergeCell ref="A9:F9"/>
    <mergeCell ref="A10:F10"/>
    <mergeCell ref="A11:F11"/>
    <mergeCell ref="A12:B12"/>
    <mergeCell ref="C13:F13"/>
    <mergeCell ref="C12:F12"/>
    <mergeCell ref="C14:F14"/>
  </mergeCells>
  <dataValidations count="2">
    <dataValidation type="list" allowBlank="1" showInputMessage="1" sqref="C14:F14">
      <formula1>INDIRECT("A_typedeprojet[Type de projet]")</formula1>
    </dataValidation>
    <dataValidation type="list" allowBlank="1" showInputMessage="1" sqref="C13:F13">
      <formula1>INDIRECT("A_ouinon[Oui/non]")</formula1>
    </dataValidation>
  </dataValidations>
  <pageMargins left="0.7" right="0.7" top="0.75" bottom="0.75" header="0.3" footer="0.3"/>
  <pageSetup paperSize="9" orientation="portrait"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dimension ref="A1:AK503"/>
  <sheetViews>
    <sheetView topLeftCell="A84" zoomScale="85" zoomScaleNormal="85" workbookViewId="0">
      <selection activeCell="E380" sqref="E380"/>
    </sheetView>
  </sheetViews>
  <sheetFormatPr defaultColWidth="11.44140625" defaultRowHeight="14.4"/>
  <cols>
    <col min="1" max="1" width="11.44140625" style="1"/>
    <col min="2" max="2" width="17" customWidth="1"/>
    <col min="3" max="3" width="12" customWidth="1"/>
    <col min="4" max="4" width="9.5546875" customWidth="1"/>
    <col min="5" max="5" width="13.88671875" customWidth="1"/>
    <col min="6" max="6" width="15.6640625" customWidth="1"/>
    <col min="7" max="7" width="20" customWidth="1"/>
    <col min="8" max="8" width="15.88671875" customWidth="1"/>
    <col min="11" max="11" width="9.5546875" customWidth="1"/>
    <col min="13" max="13" width="13.33203125" customWidth="1"/>
    <col min="14" max="14" width="5.6640625" style="10" customWidth="1"/>
    <col min="15" max="15" width="15.44140625" style="10" customWidth="1"/>
    <col min="16" max="18" width="11.44140625" style="10" customWidth="1"/>
    <col min="19" max="19" width="11.44140625" style="1" customWidth="1"/>
    <col min="20" max="20" width="29.44140625" style="1" customWidth="1"/>
    <col min="21" max="21" width="11.44140625" style="216"/>
  </cols>
  <sheetData>
    <row r="1" spans="2:29" ht="22.2" thickBot="1">
      <c r="B1" s="938" t="s">
        <v>181</v>
      </c>
      <c r="C1" s="939"/>
      <c r="D1" s="940" t="s">
        <v>367</v>
      </c>
      <c r="E1" s="939"/>
      <c r="F1" s="941"/>
      <c r="G1" s="941"/>
      <c r="H1" s="942"/>
      <c r="I1" s="942"/>
      <c r="J1" s="942"/>
      <c r="K1" s="942"/>
      <c r="L1" s="943"/>
      <c r="M1" s="944"/>
    </row>
    <row r="2" spans="2:29" ht="16.2">
      <c r="B2" s="2074" t="e">
        <f>#REF!</f>
        <v>#REF!</v>
      </c>
      <c r="C2" s="2075"/>
      <c r="D2" s="2075"/>
      <c r="E2" s="2075"/>
      <c r="F2" s="2075"/>
      <c r="G2" s="2075"/>
      <c r="H2" s="100"/>
      <c r="I2" s="101"/>
      <c r="J2" s="101"/>
      <c r="K2" s="101"/>
      <c r="L2" s="102"/>
      <c r="M2" s="186"/>
    </row>
    <row r="3" spans="2:29">
      <c r="B3" s="2076"/>
      <c r="C3" s="2077"/>
      <c r="D3" s="2077"/>
      <c r="E3" s="2077"/>
      <c r="F3" s="2077"/>
      <c r="G3" s="2077"/>
      <c r="H3" s="71"/>
      <c r="I3" s="103"/>
      <c r="J3" s="2080" t="s">
        <v>183</v>
      </c>
      <c r="K3" s="2081"/>
      <c r="L3" s="2081"/>
      <c r="M3" s="2082"/>
      <c r="O3" s="10" t="s">
        <v>629</v>
      </c>
    </row>
    <row r="4" spans="2:29" ht="15" thickBot="1">
      <c r="B4" s="2078"/>
      <c r="C4" s="2079"/>
      <c r="D4" s="2079"/>
      <c r="E4" s="2079"/>
      <c r="F4" s="2079"/>
      <c r="G4" s="2079"/>
      <c r="H4" s="71"/>
      <c r="I4" s="103"/>
      <c r="J4" s="2080"/>
      <c r="K4" s="2081"/>
      <c r="L4" s="2081"/>
      <c r="M4" s="2082"/>
      <c r="O4" s="10" t="s">
        <v>416</v>
      </c>
    </row>
    <row r="5" spans="2:29">
      <c r="B5" s="2086" t="e">
        <f>#REF!</f>
        <v>#REF!</v>
      </c>
      <c r="C5" s="2087"/>
      <c r="D5" s="2087"/>
      <c r="E5" s="2087"/>
      <c r="F5" s="2087"/>
      <c r="G5" s="2087"/>
      <c r="H5" s="71"/>
      <c r="I5" s="103"/>
      <c r="J5" s="2080"/>
      <c r="K5" s="2081"/>
      <c r="L5" s="2081"/>
      <c r="M5" s="2082"/>
    </row>
    <row r="6" spans="2:29">
      <c r="B6" s="2088"/>
      <c r="C6" s="2089"/>
      <c r="D6" s="2089"/>
      <c r="E6" s="2089"/>
      <c r="F6" s="2089"/>
      <c r="G6" s="2089"/>
      <c r="H6" s="71"/>
      <c r="I6" s="103"/>
      <c r="J6" s="2080"/>
      <c r="K6" s="2081"/>
      <c r="L6" s="2081"/>
      <c r="M6" s="2082"/>
    </row>
    <row r="7" spans="2:29" ht="15" thickBot="1">
      <c r="B7" s="2090"/>
      <c r="C7" s="2091"/>
      <c r="D7" s="2091"/>
      <c r="E7" s="2091" t="b">
        <v>0</v>
      </c>
      <c r="F7" s="2091"/>
      <c r="G7" s="2091" t="b">
        <v>0</v>
      </c>
      <c r="H7" s="187"/>
      <c r="I7" s="188"/>
      <c r="J7" s="2083"/>
      <c r="K7" s="2084"/>
      <c r="L7" s="2084"/>
      <c r="M7" s="2085"/>
    </row>
    <row r="8" spans="2:29" ht="19.2" thickBot="1">
      <c r="B8" s="206"/>
      <c r="C8" s="207"/>
      <c r="D8" s="207"/>
      <c r="E8" s="207"/>
      <c r="F8" s="207"/>
      <c r="G8" s="217" t="s">
        <v>365</v>
      </c>
      <c r="H8" s="205"/>
      <c r="I8" s="205"/>
      <c r="J8" s="214"/>
      <c r="K8" s="214"/>
      <c r="L8" s="214"/>
      <c r="M8" s="215"/>
    </row>
    <row r="9" spans="2:29" ht="19.2" thickBot="1">
      <c r="B9" s="206"/>
      <c r="C9" s="208"/>
      <c r="D9" s="208"/>
      <c r="E9" s="208"/>
      <c r="F9" s="208"/>
      <c r="G9" s="218" t="s">
        <v>8</v>
      </c>
      <c r="H9" s="209"/>
      <c r="I9" s="205"/>
      <c r="J9" s="214"/>
      <c r="K9" s="214"/>
      <c r="L9" s="214"/>
      <c r="M9" s="215"/>
    </row>
    <row r="10" spans="2:29" ht="19.2" thickBot="1">
      <c r="B10" s="206"/>
      <c r="C10" s="210"/>
      <c r="D10" s="210"/>
      <c r="E10" s="210"/>
      <c r="F10" s="209"/>
      <c r="G10" s="218" t="s">
        <v>628</v>
      </c>
      <c r="H10" s="209"/>
      <c r="I10" s="210"/>
      <c r="J10" s="210"/>
      <c r="K10" s="210"/>
      <c r="L10" s="210"/>
      <c r="M10" s="215"/>
    </row>
    <row r="11" spans="2:29" ht="19.2" thickBot="1">
      <c r="B11" s="206"/>
      <c r="C11" s="548"/>
      <c r="D11" s="548"/>
      <c r="E11" s="548"/>
      <c r="F11" s="209"/>
      <c r="G11" s="209"/>
      <c r="H11" s="209"/>
      <c r="I11" s="548"/>
      <c r="J11" s="548"/>
      <c r="K11" s="548"/>
      <c r="L11" s="548"/>
      <c r="M11" s="215"/>
    </row>
    <row r="12" spans="2:29" ht="19.2" thickBot="1">
      <c r="B12" s="206"/>
      <c r="C12" s="211"/>
      <c r="D12" s="208"/>
      <c r="E12" s="208"/>
      <c r="F12" s="209"/>
      <c r="G12" s="218" t="s">
        <v>361</v>
      </c>
      <c r="H12" s="209"/>
      <c r="I12" s="205"/>
      <c r="J12" s="214"/>
      <c r="K12" s="214"/>
      <c r="L12" s="214"/>
      <c r="M12" s="215"/>
    </row>
    <row r="13" spans="2:29" ht="19.2" thickBot="1">
      <c r="B13" s="206"/>
      <c r="C13" s="208"/>
      <c r="D13" s="208"/>
      <c r="E13" s="208"/>
      <c r="F13" s="209"/>
      <c r="G13" s="218" t="s">
        <v>362</v>
      </c>
      <c r="H13" s="209"/>
      <c r="I13" s="205"/>
      <c r="J13" s="214"/>
      <c r="K13" s="214"/>
      <c r="L13" s="214"/>
      <c r="M13" s="215"/>
    </row>
    <row r="14" spans="2:29" ht="19.2" thickBot="1">
      <c r="B14" s="206"/>
      <c r="C14" s="208"/>
      <c r="D14" s="208"/>
      <c r="E14" s="208"/>
      <c r="F14" s="209"/>
      <c r="G14" s="218" t="s">
        <v>363</v>
      </c>
      <c r="H14" s="209"/>
      <c r="I14" s="205"/>
      <c r="J14" s="214"/>
      <c r="K14" s="214"/>
      <c r="L14" s="214"/>
      <c r="M14" s="215"/>
      <c r="U14" s="2117" t="s">
        <v>368</v>
      </c>
      <c r="V14" s="2118"/>
      <c r="W14" s="2118"/>
      <c r="X14" s="2118"/>
      <c r="Y14" s="2118"/>
      <c r="Z14" s="2118"/>
      <c r="AA14" s="2118"/>
      <c r="AB14" s="2118"/>
      <c r="AC14" s="2118"/>
    </row>
    <row r="15" spans="2:29" ht="19.2" thickBot="1">
      <c r="B15" s="206"/>
      <c r="C15" s="208"/>
      <c r="D15" s="208"/>
      <c r="E15" s="208"/>
      <c r="F15" s="209"/>
      <c r="G15" s="218" t="s">
        <v>364</v>
      </c>
      <c r="H15" s="209"/>
      <c r="I15" s="205"/>
      <c r="J15" s="214"/>
      <c r="K15" s="214"/>
      <c r="L15" s="214"/>
      <c r="M15" s="215"/>
      <c r="U15" s="2117"/>
      <c r="V15" s="2118"/>
      <c r="W15" s="2118"/>
      <c r="X15" s="2118"/>
      <c r="Y15" s="2118"/>
      <c r="Z15" s="2118"/>
      <c r="AA15" s="2118"/>
      <c r="AB15" s="2118"/>
      <c r="AC15" s="2118"/>
    </row>
    <row r="16" spans="2:29" ht="18.600000000000001">
      <c r="B16" s="520"/>
      <c r="C16" s="521"/>
      <c r="D16" s="521"/>
      <c r="E16" s="521"/>
      <c r="F16" s="522"/>
      <c r="G16" s="523"/>
      <c r="H16" s="522"/>
      <c r="I16" s="7"/>
      <c r="J16" s="213"/>
      <c r="K16" s="213"/>
      <c r="L16" s="213"/>
      <c r="M16" s="213"/>
    </row>
    <row r="17" spans="2:37" ht="19.2" thickBot="1">
      <c r="B17" s="520"/>
      <c r="C17" s="521"/>
      <c r="D17" s="521"/>
      <c r="E17" s="521"/>
      <c r="F17" s="522"/>
      <c r="G17" s="523"/>
      <c r="H17" s="522"/>
      <c r="I17" s="7"/>
      <c r="J17" s="213"/>
      <c r="K17" s="213"/>
      <c r="L17" s="213"/>
      <c r="M17" s="213"/>
      <c r="U17" s="2061" t="s">
        <v>369</v>
      </c>
      <c r="V17" s="2062"/>
      <c r="W17" s="2062"/>
      <c r="X17" s="2062"/>
      <c r="Y17" s="2062"/>
      <c r="Z17" s="2062"/>
      <c r="AA17" s="2062"/>
      <c r="AB17" s="2062"/>
      <c r="AC17" s="2062"/>
      <c r="AD17" s="221" t="s">
        <v>370</v>
      </c>
      <c r="AE17" s="222"/>
      <c r="AF17" s="222"/>
      <c r="AG17" s="222"/>
      <c r="AH17" s="222"/>
      <c r="AI17" s="222"/>
      <c r="AJ17" s="222"/>
      <c r="AK17" s="222"/>
    </row>
    <row r="18" spans="2:37" ht="18.600000000000001" thickBot="1">
      <c r="B18" s="2126" t="s">
        <v>8</v>
      </c>
      <c r="C18" s="2127"/>
      <c r="D18" s="2127"/>
      <c r="E18" s="2127"/>
      <c r="F18" s="2127"/>
      <c r="G18" s="2127"/>
      <c r="H18" s="2127"/>
      <c r="I18" s="2127"/>
      <c r="J18" s="2127"/>
      <c r="K18" s="2127"/>
      <c r="L18" s="2127"/>
      <c r="M18" s="2128"/>
      <c r="U18" s="2061"/>
      <c r="V18" s="2062"/>
      <c r="W18" s="2062"/>
      <c r="X18" s="2062"/>
      <c r="Y18" s="2062"/>
      <c r="Z18" s="2062"/>
      <c r="AA18" s="2062"/>
      <c r="AB18" s="2062"/>
      <c r="AC18" s="2062"/>
      <c r="AD18" s="2119" t="s">
        <v>371</v>
      </c>
      <c r="AE18" s="2119"/>
      <c r="AF18" s="2119"/>
      <c r="AG18" s="2119"/>
      <c r="AH18" s="2119"/>
      <c r="AI18" s="2119"/>
      <c r="AJ18" s="2119"/>
      <c r="AK18" s="2119"/>
    </row>
    <row r="19" spans="2:37">
      <c r="B19" s="2129" t="s">
        <v>1</v>
      </c>
      <c r="C19" s="2130"/>
      <c r="D19" s="2130"/>
      <c r="E19" s="2130"/>
      <c r="F19" s="2130"/>
      <c r="G19" s="2131"/>
      <c r="H19" s="2131"/>
      <c r="I19" s="2131"/>
      <c r="J19" s="2131"/>
      <c r="K19" s="2131"/>
      <c r="L19" s="2131"/>
      <c r="M19" s="2132"/>
      <c r="U19" s="223"/>
      <c r="V19" s="222"/>
      <c r="W19" s="222"/>
      <c r="X19" s="222"/>
      <c r="Y19" s="222"/>
      <c r="Z19" s="222"/>
      <c r="AA19" s="222"/>
      <c r="AB19" s="222"/>
      <c r="AC19" s="222"/>
      <c r="AD19" s="2119"/>
      <c r="AE19" s="2119"/>
      <c r="AF19" s="2119"/>
      <c r="AG19" s="2119"/>
      <c r="AH19" s="2119"/>
      <c r="AI19" s="2119"/>
      <c r="AJ19" s="2119"/>
      <c r="AK19" s="2119"/>
    </row>
    <row r="20" spans="2:37">
      <c r="B20" s="1936" t="s">
        <v>4</v>
      </c>
      <c r="C20" s="1937"/>
      <c r="D20" s="1937"/>
      <c r="E20" s="1937"/>
      <c r="F20" s="1937"/>
      <c r="G20" s="369"/>
      <c r="H20" s="2095" t="s">
        <v>159</v>
      </c>
      <c r="I20" s="2095"/>
      <c r="J20" s="2095"/>
      <c r="K20" s="2095"/>
      <c r="L20" s="2095"/>
      <c r="M20" s="2096"/>
      <c r="U20" s="223"/>
      <c r="V20" s="222"/>
      <c r="W20" s="222"/>
      <c r="X20" s="222"/>
      <c r="Y20" s="222"/>
      <c r="Z20" s="222"/>
      <c r="AA20" s="222"/>
      <c r="AB20" s="222"/>
      <c r="AC20" s="222"/>
      <c r="AD20" s="2119"/>
      <c r="AE20" s="2119"/>
      <c r="AF20" s="2119"/>
      <c r="AG20" s="2119"/>
      <c r="AH20" s="2119"/>
      <c r="AI20" s="2119"/>
      <c r="AJ20" s="2119"/>
      <c r="AK20" s="2119"/>
    </row>
    <row r="21" spans="2:37">
      <c r="B21" s="1936" t="s">
        <v>5</v>
      </c>
      <c r="C21" s="1937"/>
      <c r="D21" s="1937"/>
      <c r="E21" s="1937"/>
      <c r="F21" s="1937"/>
      <c r="G21" s="370"/>
      <c r="H21" s="2095"/>
      <c r="I21" s="2095"/>
      <c r="J21" s="2095"/>
      <c r="K21" s="2095"/>
      <c r="L21" s="2095"/>
      <c r="M21" s="2096"/>
      <c r="U21" s="223"/>
      <c r="V21" s="222"/>
      <c r="W21" s="222"/>
      <c r="X21" s="222"/>
      <c r="Y21" s="222"/>
      <c r="Z21" s="222"/>
      <c r="AA21" s="222"/>
      <c r="AB21" s="222"/>
      <c r="AC21" s="222"/>
      <c r="AD21" s="221" t="s">
        <v>372</v>
      </c>
      <c r="AE21" s="222"/>
      <c r="AF21" s="222"/>
      <c r="AG21" s="222"/>
      <c r="AH21" s="222"/>
      <c r="AI21" s="222"/>
      <c r="AJ21" s="222"/>
      <c r="AK21" s="222"/>
    </row>
    <row r="22" spans="2:37">
      <c r="B22" s="1936" t="s">
        <v>119</v>
      </c>
      <c r="C22" s="1937"/>
      <c r="D22" s="1937"/>
      <c r="E22" s="1937"/>
      <c r="F22" s="1937"/>
      <c r="G22" s="369"/>
      <c r="H22" s="2095"/>
      <c r="I22" s="2095"/>
      <c r="J22" s="2095"/>
      <c r="K22" s="2095"/>
      <c r="L22" s="2095"/>
      <c r="M22" s="2096"/>
      <c r="U22" s="223"/>
      <c r="V22" s="222"/>
      <c r="W22" s="222"/>
      <c r="X22" s="222"/>
      <c r="Y22" s="222"/>
      <c r="Z22" s="222"/>
      <c r="AA22" s="222"/>
      <c r="AB22" s="222"/>
      <c r="AC22" s="222"/>
      <c r="AD22" s="224" t="s">
        <v>373</v>
      </c>
      <c r="AE22" s="222"/>
      <c r="AF22" s="222"/>
      <c r="AG22" s="222"/>
      <c r="AH22" s="222"/>
      <c r="AI22" s="222"/>
      <c r="AJ22" s="222"/>
      <c r="AK22" s="222"/>
    </row>
    <row r="23" spans="2:37">
      <c r="B23" s="1936" t="s">
        <v>120</v>
      </c>
      <c r="C23" s="1937"/>
      <c r="D23" s="1937"/>
      <c r="E23" s="1937"/>
      <c r="F23" s="1937"/>
      <c r="G23" s="371"/>
      <c r="H23" s="2092" t="str">
        <f>IF(G23&lt;=G20,"","Les travaux ont commencés avant la date de dépôt du dossier: le projet n'est plus finançable")</f>
        <v/>
      </c>
      <c r="I23" s="2093"/>
      <c r="J23" s="2093"/>
      <c r="K23" s="2093"/>
      <c r="L23" s="2093"/>
      <c r="M23" s="2094"/>
      <c r="U23" s="223"/>
      <c r="V23" s="222"/>
      <c r="W23" s="222"/>
      <c r="X23" s="222"/>
      <c r="Y23" s="222"/>
      <c r="Z23" s="222"/>
      <c r="AA23" s="222"/>
      <c r="AB23" s="222"/>
      <c r="AC23" s="222"/>
      <c r="AD23" s="224"/>
      <c r="AE23" s="222"/>
      <c r="AF23" s="222"/>
      <c r="AG23" s="222"/>
      <c r="AH23" s="222"/>
      <c r="AI23" s="222"/>
      <c r="AJ23" s="222"/>
      <c r="AK23" s="222"/>
    </row>
    <row r="24" spans="2:37">
      <c r="B24" s="1936" t="s">
        <v>96</v>
      </c>
      <c r="C24" s="1937"/>
      <c r="D24" s="1937"/>
      <c r="E24" s="1937"/>
      <c r="F24" s="1937"/>
      <c r="G24" s="541" t="s">
        <v>40</v>
      </c>
      <c r="H24" s="2095" t="s">
        <v>159</v>
      </c>
      <c r="I24" s="2095"/>
      <c r="J24" s="2095"/>
      <c r="K24" s="2095"/>
      <c r="L24" s="2095"/>
      <c r="M24" s="2096"/>
      <c r="U24" s="223"/>
      <c r="V24" s="222"/>
      <c r="W24" s="222"/>
      <c r="X24" s="222"/>
      <c r="Y24" s="222"/>
      <c r="Z24" s="222"/>
      <c r="AA24" s="222"/>
      <c r="AB24" s="222"/>
      <c r="AC24" s="222"/>
      <c r="AD24" s="221" t="s">
        <v>374</v>
      </c>
      <c r="AE24" s="222"/>
      <c r="AF24" s="222"/>
      <c r="AG24" s="222"/>
      <c r="AH24" s="222"/>
      <c r="AI24" s="222"/>
      <c r="AJ24" s="222"/>
      <c r="AK24" s="222"/>
    </row>
    <row r="25" spans="2:37">
      <c r="B25" s="1936" t="s">
        <v>118</v>
      </c>
      <c r="C25" s="1937"/>
      <c r="D25" s="1937"/>
      <c r="E25" s="1937"/>
      <c r="F25" s="1937"/>
      <c r="G25" s="541" t="s">
        <v>202</v>
      </c>
      <c r="H25" s="2095"/>
      <c r="I25" s="2095"/>
      <c r="J25" s="2095"/>
      <c r="K25" s="2095"/>
      <c r="L25" s="2095"/>
      <c r="M25" s="2096"/>
      <c r="U25" s="223"/>
      <c r="V25" s="222"/>
      <c r="W25" s="222"/>
      <c r="X25" s="222"/>
      <c r="Y25" s="222"/>
      <c r="Z25" s="222"/>
      <c r="AA25" s="222"/>
      <c r="AB25" s="222"/>
      <c r="AC25" s="222"/>
      <c r="AD25" s="224"/>
      <c r="AE25" s="222"/>
      <c r="AF25" s="222"/>
      <c r="AG25" s="222"/>
      <c r="AH25" s="222"/>
      <c r="AI25" s="222"/>
      <c r="AJ25" s="222"/>
      <c r="AK25" s="222"/>
    </row>
    <row r="26" spans="2:37">
      <c r="B26" s="527"/>
      <c r="C26" s="528"/>
      <c r="D26" s="528"/>
      <c r="E26" s="528"/>
      <c r="F26" s="529" t="s">
        <v>591</v>
      </c>
      <c r="G26" s="542" t="s">
        <v>470</v>
      </c>
      <c r="H26" s="532"/>
      <c r="I26" s="533"/>
      <c r="J26" s="533"/>
      <c r="K26" s="533"/>
      <c r="L26" s="533"/>
      <c r="M26" s="534"/>
      <c r="U26" s="223"/>
      <c r="V26" s="222"/>
      <c r="W26" s="222"/>
      <c r="X26" s="222"/>
      <c r="Y26" s="222"/>
      <c r="Z26" s="222"/>
      <c r="AA26" s="222"/>
      <c r="AB26" s="222"/>
      <c r="AC26" s="222"/>
      <c r="AD26" s="221" t="s">
        <v>375</v>
      </c>
      <c r="AE26" s="222"/>
      <c r="AF26" s="222"/>
      <c r="AG26" s="222"/>
      <c r="AH26" s="222"/>
      <c r="AI26" s="222"/>
      <c r="AJ26" s="222"/>
      <c r="AK26" s="222"/>
    </row>
    <row r="27" spans="2:37">
      <c r="B27" s="527"/>
      <c r="C27" s="528"/>
      <c r="D27" s="528"/>
      <c r="E27" s="528"/>
      <c r="F27" s="529" t="s">
        <v>590</v>
      </c>
      <c r="G27" s="542" t="s">
        <v>442</v>
      </c>
      <c r="H27" s="532"/>
      <c r="I27" s="533"/>
      <c r="J27" s="533"/>
      <c r="K27" s="533"/>
      <c r="L27" s="533"/>
      <c r="M27" s="534"/>
      <c r="U27" s="223"/>
      <c r="V27" s="222"/>
      <c r="W27" s="222"/>
      <c r="X27" s="222"/>
      <c r="Y27" s="222"/>
      <c r="Z27" s="222"/>
      <c r="AA27" s="222"/>
      <c r="AB27" s="222"/>
      <c r="AC27" s="222"/>
      <c r="AD27" s="224" t="s">
        <v>377</v>
      </c>
      <c r="AE27" s="222"/>
      <c r="AF27" s="222"/>
      <c r="AG27" s="222"/>
      <c r="AH27" s="222"/>
      <c r="AI27" s="222"/>
      <c r="AJ27" s="222"/>
      <c r="AK27" s="222"/>
    </row>
    <row r="28" spans="2:37">
      <c r="B28" s="2097" t="s">
        <v>587</v>
      </c>
      <c r="C28" s="2098"/>
      <c r="D28" s="2098"/>
      <c r="E28" s="2098"/>
      <c r="F28" s="2099"/>
      <c r="G28" s="542" t="s">
        <v>596</v>
      </c>
      <c r="H28" s="374"/>
      <c r="I28" s="375"/>
      <c r="J28" s="375"/>
      <c r="K28" s="375"/>
      <c r="L28" s="375"/>
      <c r="M28" s="376"/>
      <c r="U28" s="223"/>
      <c r="V28" s="222"/>
      <c r="W28" s="222"/>
      <c r="X28" s="222"/>
      <c r="Y28" s="222"/>
      <c r="Z28" s="222"/>
      <c r="AA28" s="222"/>
      <c r="AB28" s="222"/>
      <c r="AC28" s="222"/>
      <c r="AD28" s="222"/>
      <c r="AE28" s="222"/>
      <c r="AF28" s="222"/>
      <c r="AG28" s="222"/>
      <c r="AH28" s="222"/>
      <c r="AI28" s="222"/>
      <c r="AJ28" s="222"/>
      <c r="AK28" s="222"/>
    </row>
    <row r="29" spans="2:37">
      <c r="B29" s="2100" t="s">
        <v>121</v>
      </c>
      <c r="C29" s="2101"/>
      <c r="D29" s="2101"/>
      <c r="E29" s="2101"/>
      <c r="F29" s="2101"/>
      <c r="G29" s="2104"/>
      <c r="H29" s="2104"/>
      <c r="I29" s="2104"/>
      <c r="J29" s="2104"/>
      <c r="K29" s="2104"/>
      <c r="L29" s="2104"/>
      <c r="M29" s="2105"/>
      <c r="U29" s="223"/>
      <c r="V29" s="222"/>
      <c r="W29" s="222"/>
      <c r="X29" s="222"/>
      <c r="Y29" s="222"/>
      <c r="Z29" s="222"/>
      <c r="AA29" s="222"/>
      <c r="AB29" s="222"/>
      <c r="AC29" s="222"/>
      <c r="AD29" s="221" t="s">
        <v>379</v>
      </c>
      <c r="AE29" s="222"/>
      <c r="AF29" s="222"/>
      <c r="AG29" s="222"/>
      <c r="AH29" s="222"/>
      <c r="AI29" s="222"/>
      <c r="AJ29" s="222"/>
      <c r="AK29" s="222"/>
    </row>
    <row r="30" spans="2:37">
      <c r="B30" s="2100"/>
      <c r="C30" s="2101"/>
      <c r="D30" s="2101"/>
      <c r="E30" s="2101"/>
      <c r="F30" s="2101"/>
      <c r="G30" s="2104"/>
      <c r="H30" s="2104"/>
      <c r="I30" s="2104"/>
      <c r="J30" s="2104"/>
      <c r="K30" s="2104"/>
      <c r="L30" s="2104"/>
      <c r="M30" s="2105"/>
      <c r="U30" s="223"/>
      <c r="V30" s="222"/>
      <c r="W30" s="222"/>
      <c r="X30" s="222"/>
      <c r="Y30" s="222"/>
      <c r="Z30" s="222"/>
      <c r="AA30" s="222"/>
      <c r="AB30" s="222"/>
      <c r="AC30" s="222"/>
      <c r="AD30" s="224" t="s">
        <v>381</v>
      </c>
      <c r="AE30" s="222"/>
      <c r="AF30" s="222"/>
      <c r="AG30" s="222"/>
      <c r="AH30" s="222"/>
      <c r="AI30" s="222"/>
      <c r="AJ30" s="222"/>
      <c r="AK30" s="222"/>
    </row>
    <row r="31" spans="2:37" ht="15" thickBot="1">
      <c r="B31" s="2102"/>
      <c r="C31" s="2103"/>
      <c r="D31" s="2103"/>
      <c r="E31" s="2103"/>
      <c r="F31" s="2103"/>
      <c r="G31" s="2106"/>
      <c r="H31" s="2106"/>
      <c r="I31" s="2106"/>
      <c r="J31" s="2106"/>
      <c r="K31" s="2106"/>
      <c r="L31" s="2106"/>
      <c r="M31" s="2107"/>
      <c r="U31" s="223"/>
      <c r="V31" s="222"/>
      <c r="W31" s="222"/>
      <c r="X31" s="222"/>
      <c r="Y31" s="222"/>
      <c r="Z31" s="222"/>
      <c r="AA31" s="222"/>
      <c r="AB31" s="222"/>
      <c r="AC31" s="222"/>
      <c r="AD31" s="222"/>
      <c r="AE31" s="222"/>
      <c r="AF31" s="222"/>
      <c r="AG31" s="222"/>
      <c r="AH31" s="222"/>
      <c r="AI31" s="222"/>
      <c r="AJ31" s="222"/>
      <c r="AK31" s="222"/>
    </row>
    <row r="32" spans="2:37" ht="18" thickBot="1">
      <c r="B32" s="2108" t="s">
        <v>122</v>
      </c>
      <c r="C32" s="2109"/>
      <c r="D32" s="2109"/>
      <c r="E32" s="326" t="s">
        <v>150</v>
      </c>
      <c r="F32" s="2110" t="s">
        <v>156</v>
      </c>
      <c r="G32" s="2111"/>
      <c r="H32" s="2120" t="s">
        <v>123</v>
      </c>
      <c r="I32" s="2120"/>
      <c r="J32" s="2120"/>
      <c r="K32" s="2120"/>
      <c r="L32" s="377" t="s">
        <v>124</v>
      </c>
      <c r="M32" s="378" t="s">
        <v>125</v>
      </c>
      <c r="S32" s="10"/>
      <c r="U32" s="223"/>
      <c r="V32" s="222"/>
      <c r="W32" s="222"/>
      <c r="X32" s="222"/>
      <c r="Y32" s="222"/>
      <c r="Z32" s="222"/>
      <c r="AA32" s="222"/>
      <c r="AB32" s="222"/>
      <c r="AC32" s="222"/>
      <c r="AD32" s="221" t="s">
        <v>382</v>
      </c>
      <c r="AE32" s="222"/>
      <c r="AF32" s="222"/>
      <c r="AG32" s="222"/>
      <c r="AH32" s="222"/>
      <c r="AI32" s="222"/>
      <c r="AJ32" s="222"/>
      <c r="AK32" s="222"/>
    </row>
    <row r="33" spans="2:37">
      <c r="B33" s="2121" t="s">
        <v>179</v>
      </c>
      <c r="C33" s="2122"/>
      <c r="D33" s="2122"/>
      <c r="E33" s="530"/>
      <c r="F33" s="1949"/>
      <c r="G33" s="1949"/>
      <c r="H33" s="1949"/>
      <c r="I33" s="1949"/>
      <c r="J33" s="1949"/>
      <c r="K33" s="1949"/>
      <c r="L33" s="379"/>
      <c r="M33" s="380"/>
      <c r="S33" s="10"/>
      <c r="U33" s="223"/>
      <c r="V33" s="222"/>
      <c r="W33" s="222"/>
      <c r="X33" s="222"/>
      <c r="Y33" s="222"/>
      <c r="Z33" s="222"/>
      <c r="AA33" s="222"/>
      <c r="AB33" s="222"/>
      <c r="AC33" s="222"/>
      <c r="AD33" s="224" t="s">
        <v>383</v>
      </c>
      <c r="AE33" s="222"/>
      <c r="AF33" s="222"/>
      <c r="AG33" s="222"/>
      <c r="AH33" s="222"/>
      <c r="AI33" s="222"/>
      <c r="AJ33" s="222"/>
      <c r="AK33" s="222"/>
    </row>
    <row r="34" spans="2:37">
      <c r="B34" s="1936" t="s">
        <v>180</v>
      </c>
      <c r="C34" s="1937"/>
      <c r="D34" s="1937"/>
      <c r="E34" s="530"/>
      <c r="F34" s="1941"/>
      <c r="G34" s="1941"/>
      <c r="H34" s="1941"/>
      <c r="I34" s="1941"/>
      <c r="J34" s="1941"/>
      <c r="K34" s="1941"/>
      <c r="L34" s="381"/>
      <c r="M34" s="382"/>
      <c r="S34" s="10"/>
      <c r="U34" s="223"/>
      <c r="V34" s="222"/>
      <c r="W34" s="222"/>
      <c r="X34" s="222"/>
      <c r="Y34" s="222"/>
      <c r="Z34" s="222"/>
      <c r="AA34" s="222"/>
      <c r="AB34" s="222"/>
      <c r="AC34" s="222"/>
      <c r="AD34" s="224" t="s">
        <v>384</v>
      </c>
      <c r="AE34" s="222"/>
      <c r="AF34" s="222"/>
      <c r="AG34" s="222"/>
      <c r="AH34" s="222"/>
      <c r="AI34" s="222"/>
      <c r="AJ34" s="222"/>
      <c r="AK34" s="222"/>
    </row>
    <row r="35" spans="2:37">
      <c r="B35" s="1946" t="s">
        <v>155</v>
      </c>
      <c r="C35" s="1947"/>
      <c r="D35" s="1948"/>
      <c r="E35" s="531"/>
      <c r="F35" s="1941"/>
      <c r="G35" s="1941"/>
      <c r="H35" s="1941"/>
      <c r="I35" s="1941"/>
      <c r="J35" s="1941"/>
      <c r="K35" s="1941"/>
      <c r="L35" s="381"/>
      <c r="M35" s="382"/>
      <c r="S35" s="10"/>
      <c r="U35" s="223"/>
      <c r="V35" s="222"/>
      <c r="W35" s="222"/>
      <c r="X35" s="222"/>
      <c r="Y35" s="222"/>
      <c r="Z35" s="222"/>
      <c r="AA35" s="222"/>
      <c r="AB35" s="222"/>
      <c r="AC35" s="222"/>
      <c r="AD35" s="222"/>
      <c r="AE35" s="222"/>
      <c r="AF35" s="222"/>
      <c r="AG35" s="222"/>
      <c r="AH35" s="222"/>
      <c r="AI35" s="222"/>
      <c r="AJ35" s="222"/>
      <c r="AK35" s="222"/>
    </row>
    <row r="36" spans="2:37">
      <c r="B36" s="1936" t="s">
        <v>585</v>
      </c>
      <c r="C36" s="1937"/>
      <c r="D36" s="1937"/>
      <c r="E36" s="531"/>
      <c r="F36" s="1941"/>
      <c r="G36" s="1941"/>
      <c r="H36" s="1941"/>
      <c r="I36" s="1941"/>
      <c r="J36" s="1941"/>
      <c r="K36" s="1941"/>
      <c r="L36" s="381"/>
      <c r="M36" s="382"/>
      <c r="S36" s="10"/>
      <c r="U36" s="223"/>
      <c r="V36" s="221"/>
      <c r="W36" s="222"/>
      <c r="X36" s="222"/>
      <c r="Y36" s="222"/>
      <c r="Z36" s="222"/>
      <c r="AA36" s="222"/>
      <c r="AB36" s="222"/>
      <c r="AC36" s="222"/>
      <c r="AD36" s="222"/>
      <c r="AE36" s="222"/>
      <c r="AF36" s="222"/>
      <c r="AG36" s="222"/>
      <c r="AH36" s="222"/>
      <c r="AI36" s="222"/>
      <c r="AJ36" s="222"/>
      <c r="AK36" s="222"/>
    </row>
    <row r="37" spans="2:37">
      <c r="B37" s="1936" t="s">
        <v>376</v>
      </c>
      <c r="C37" s="1937"/>
      <c r="D37" s="1937"/>
      <c r="E37" s="329" t="s">
        <v>40</v>
      </c>
      <c r="F37" s="1941"/>
      <c r="G37" s="1941"/>
      <c r="H37" s="1941"/>
      <c r="I37" s="1941"/>
      <c r="J37" s="1941"/>
      <c r="K37" s="1941"/>
      <c r="L37" s="381"/>
      <c r="M37" s="382"/>
      <c r="S37" s="10"/>
    </row>
    <row r="38" spans="2:37">
      <c r="B38" s="1946" t="s">
        <v>584</v>
      </c>
      <c r="C38" s="1947"/>
      <c r="D38" s="1948"/>
      <c r="E38" s="530"/>
      <c r="F38" s="1941"/>
      <c r="G38" s="1941"/>
      <c r="H38" s="1949"/>
      <c r="I38" s="1949"/>
      <c r="J38" s="1949"/>
      <c r="K38" s="1949"/>
      <c r="L38" s="381"/>
      <c r="M38" s="382"/>
      <c r="S38" s="10"/>
    </row>
    <row r="39" spans="2:37">
      <c r="B39" s="524"/>
      <c r="C39" s="525"/>
      <c r="D39" s="526" t="s">
        <v>380</v>
      </c>
      <c r="E39" s="531"/>
      <c r="F39" s="1941"/>
      <c r="G39" s="1941"/>
      <c r="H39" s="1941"/>
      <c r="I39" s="1941"/>
      <c r="J39" s="1941"/>
      <c r="K39" s="1941"/>
      <c r="L39" s="381"/>
      <c r="M39" s="382"/>
      <c r="S39" s="10"/>
    </row>
    <row r="40" spans="2:37">
      <c r="B40" s="1936" t="s">
        <v>157</v>
      </c>
      <c r="C40" s="1937"/>
      <c r="D40" s="1937"/>
      <c r="E40" s="531"/>
      <c r="F40" s="1941"/>
      <c r="G40" s="1941"/>
      <c r="H40" s="1941"/>
      <c r="I40" s="1941"/>
      <c r="J40" s="1941"/>
      <c r="K40" s="1941"/>
      <c r="L40" s="381"/>
      <c r="M40" s="382"/>
      <c r="S40" s="10"/>
    </row>
    <row r="41" spans="2:37">
      <c r="B41" s="1946" t="s">
        <v>378</v>
      </c>
      <c r="C41" s="1947"/>
      <c r="D41" s="1948"/>
      <c r="E41" s="531"/>
      <c r="F41" s="1941"/>
      <c r="G41" s="1941"/>
      <c r="H41" s="1949"/>
      <c r="I41" s="1949"/>
      <c r="J41" s="1949"/>
      <c r="K41" s="1949"/>
      <c r="L41" s="383"/>
      <c r="M41" s="384"/>
      <c r="S41" s="10"/>
    </row>
    <row r="42" spans="2:37" ht="15" thickBot="1">
      <c r="B42" s="1938" t="s">
        <v>129</v>
      </c>
      <c r="C42" s="1939"/>
      <c r="D42" s="1939"/>
      <c r="E42" s="531"/>
      <c r="F42" s="1940"/>
      <c r="G42" s="1940"/>
      <c r="H42" s="1941"/>
      <c r="I42" s="1941"/>
      <c r="J42" s="1941"/>
      <c r="K42" s="1941"/>
      <c r="L42" s="383"/>
      <c r="M42" s="384"/>
    </row>
    <row r="43" spans="2:37" ht="18" thickBot="1">
      <c r="B43" s="1942" t="s">
        <v>100</v>
      </c>
      <c r="C43" s="1943"/>
      <c r="D43" s="1943"/>
      <c r="E43" s="1943"/>
      <c r="F43" s="1943"/>
      <c r="G43" s="1943"/>
      <c r="H43" s="1943"/>
      <c r="I43" s="1943"/>
      <c r="J43" s="1943"/>
      <c r="K43" s="1943"/>
      <c r="L43" s="1943"/>
      <c r="M43" s="1944"/>
    </row>
    <row r="44" spans="2:37">
      <c r="B44" s="385"/>
      <c r="C44" s="1945"/>
      <c r="D44" s="1945"/>
      <c r="E44" s="1945"/>
      <c r="F44" s="1945"/>
      <c r="G44" s="1945"/>
      <c r="H44" s="1945"/>
      <c r="I44" s="1945"/>
      <c r="J44" s="1945"/>
      <c r="K44" s="1945"/>
      <c r="L44" s="1945"/>
      <c r="M44" s="386"/>
    </row>
    <row r="45" spans="2:37" ht="15" thickBot="1">
      <c r="B45" s="385"/>
      <c r="C45" s="1945"/>
      <c r="D45" s="1945"/>
      <c r="E45" s="1945"/>
      <c r="F45" s="1945"/>
      <c r="G45" s="1945"/>
      <c r="H45" s="1945"/>
      <c r="I45" s="1945"/>
      <c r="J45" s="1945"/>
      <c r="K45" s="1945"/>
      <c r="L45" s="1945"/>
      <c r="M45" s="386"/>
    </row>
    <row r="46" spans="2:37" ht="18" thickBot="1">
      <c r="B46" s="1942" t="s">
        <v>7</v>
      </c>
      <c r="C46" s="1943"/>
      <c r="D46" s="1943"/>
      <c r="E46" s="1943"/>
      <c r="F46" s="1943"/>
      <c r="G46" s="1943"/>
      <c r="H46" s="1943"/>
      <c r="I46" s="1943"/>
      <c r="J46" s="1943"/>
      <c r="K46" s="1943"/>
      <c r="L46" s="1943"/>
      <c r="M46" s="1944"/>
    </row>
    <row r="47" spans="2:37">
      <c r="B47" s="387"/>
      <c r="C47" s="1945"/>
      <c r="D47" s="1945"/>
      <c r="E47" s="1945"/>
      <c r="F47" s="1945"/>
      <c r="G47" s="1945"/>
      <c r="H47" s="1945"/>
      <c r="I47" s="1945"/>
      <c r="J47" s="1945"/>
      <c r="K47" s="1945"/>
      <c r="L47" s="1945"/>
      <c r="M47" s="388"/>
    </row>
    <row r="48" spans="2:37">
      <c r="B48" s="389"/>
      <c r="C48" s="1945"/>
      <c r="D48" s="1945"/>
      <c r="E48" s="1945"/>
      <c r="F48" s="1945"/>
      <c r="G48" s="1945"/>
      <c r="H48" s="1945"/>
      <c r="I48" s="1945"/>
      <c r="J48" s="1945"/>
      <c r="K48" s="1945"/>
      <c r="L48" s="1945"/>
      <c r="M48" s="388"/>
    </row>
    <row r="49" spans="2:13">
      <c r="B49" s="389"/>
      <c r="C49" s="1945"/>
      <c r="D49" s="1945"/>
      <c r="E49" s="1945"/>
      <c r="F49" s="1945"/>
      <c r="G49" s="1945"/>
      <c r="H49" s="1945"/>
      <c r="I49" s="1945"/>
      <c r="J49" s="1945"/>
      <c r="K49" s="1945"/>
      <c r="L49" s="1945"/>
      <c r="M49" s="388"/>
    </row>
    <row r="50" spans="2:13" ht="18" customHeight="1">
      <c r="B50" s="389"/>
      <c r="C50" s="1945"/>
      <c r="D50" s="1945"/>
      <c r="E50" s="1945"/>
      <c r="F50" s="1945"/>
      <c r="G50" s="1945"/>
      <c r="H50" s="1945"/>
      <c r="I50" s="1945"/>
      <c r="J50" s="1945"/>
      <c r="K50" s="1945"/>
      <c r="L50" s="1945"/>
      <c r="M50" s="388"/>
    </row>
    <row r="51" spans="2:13" ht="15" customHeight="1" thickBot="1">
      <c r="B51" s="389"/>
      <c r="C51" s="1945"/>
      <c r="D51" s="1945"/>
      <c r="E51" s="1945"/>
      <c r="F51" s="1945"/>
      <c r="G51" s="1945"/>
      <c r="H51" s="1945"/>
      <c r="I51" s="1945"/>
      <c r="J51" s="1945"/>
      <c r="K51" s="1945"/>
      <c r="L51" s="1945"/>
      <c r="M51" s="388"/>
    </row>
    <row r="52" spans="2:13" ht="18" thickBot="1">
      <c r="B52" s="2123" t="s">
        <v>6</v>
      </c>
      <c r="C52" s="2124"/>
      <c r="D52" s="2124"/>
      <c r="E52" s="2124"/>
      <c r="F52" s="2124"/>
      <c r="G52" s="2124"/>
      <c r="H52" s="2124"/>
      <c r="I52" s="2124"/>
      <c r="J52" s="2124"/>
      <c r="K52" s="2124"/>
      <c r="L52" s="2124"/>
      <c r="M52" s="2125"/>
    </row>
    <row r="53" spans="2:13">
      <c r="B53" s="387"/>
      <c r="C53" s="1945"/>
      <c r="D53" s="1945"/>
      <c r="E53" s="1945"/>
      <c r="F53" s="1945"/>
      <c r="G53" s="2112"/>
      <c r="H53" s="2115" t="s">
        <v>201</v>
      </c>
      <c r="I53" s="2116"/>
      <c r="J53" s="390"/>
      <c r="K53" s="390"/>
      <c r="L53" s="390"/>
      <c r="M53" s="388"/>
    </row>
    <row r="54" spans="2:13">
      <c r="B54" s="389"/>
      <c r="C54" s="1945"/>
      <c r="D54" s="1945"/>
      <c r="E54" s="1945"/>
      <c r="F54" s="1945"/>
      <c r="G54" s="2112"/>
      <c r="H54" s="390"/>
      <c r="I54" s="390"/>
      <c r="J54" s="390"/>
      <c r="K54" s="390"/>
      <c r="L54" s="390"/>
      <c r="M54" s="388"/>
    </row>
    <row r="55" spans="2:13">
      <c r="B55" s="389"/>
      <c r="C55" s="1945"/>
      <c r="D55" s="1945"/>
      <c r="E55" s="1945"/>
      <c r="F55" s="1945"/>
      <c r="G55" s="2112"/>
      <c r="H55" s="390"/>
      <c r="I55" s="390"/>
      <c r="J55" s="390"/>
      <c r="K55" s="390"/>
      <c r="L55" s="390"/>
      <c r="M55" s="388"/>
    </row>
    <row r="56" spans="2:13">
      <c r="B56" s="389"/>
      <c r="C56" s="1945"/>
      <c r="D56" s="1945"/>
      <c r="E56" s="1945"/>
      <c r="F56" s="1945"/>
      <c r="G56" s="2112"/>
      <c r="H56" s="390"/>
      <c r="I56" s="390"/>
      <c r="J56" s="390"/>
      <c r="K56" s="390"/>
      <c r="L56" s="390"/>
      <c r="M56" s="388"/>
    </row>
    <row r="57" spans="2:13">
      <c r="B57" s="389"/>
      <c r="C57" s="1945"/>
      <c r="D57" s="1945"/>
      <c r="E57" s="1945"/>
      <c r="F57" s="1945"/>
      <c r="G57" s="2112"/>
      <c r="H57" s="390"/>
      <c r="I57" s="390"/>
      <c r="J57" s="390"/>
      <c r="K57" s="390"/>
      <c r="L57" s="390"/>
      <c r="M57" s="388"/>
    </row>
    <row r="58" spans="2:13">
      <c r="B58" s="389"/>
      <c r="C58" s="1945"/>
      <c r="D58" s="1945"/>
      <c r="E58" s="1945"/>
      <c r="F58" s="1945"/>
      <c r="G58" s="2112"/>
      <c r="H58" s="390"/>
      <c r="I58" s="390"/>
      <c r="J58" s="390"/>
      <c r="K58" s="390"/>
      <c r="L58" s="390"/>
      <c r="M58" s="388"/>
    </row>
    <row r="59" spans="2:13">
      <c r="B59" s="389"/>
      <c r="C59" s="1945"/>
      <c r="D59" s="1945"/>
      <c r="E59" s="1945"/>
      <c r="F59" s="1945"/>
      <c r="G59" s="2112"/>
      <c r="H59" s="390"/>
      <c r="I59" s="390"/>
      <c r="J59" s="390"/>
      <c r="K59" s="390"/>
      <c r="L59" s="390"/>
      <c r="M59" s="388"/>
    </row>
    <row r="60" spans="2:13">
      <c r="B60" s="389"/>
      <c r="C60" s="1945"/>
      <c r="D60" s="1945"/>
      <c r="E60" s="1945"/>
      <c r="F60" s="1945"/>
      <c r="G60" s="2112"/>
      <c r="H60" s="390"/>
      <c r="I60" s="390"/>
      <c r="J60" s="390"/>
      <c r="K60" s="390"/>
      <c r="L60" s="390"/>
      <c r="M60" s="388"/>
    </row>
    <row r="61" spans="2:13">
      <c r="B61" s="389"/>
      <c r="C61" s="1945"/>
      <c r="D61" s="1945"/>
      <c r="E61" s="1945"/>
      <c r="F61" s="1945"/>
      <c r="G61" s="2112"/>
      <c r="H61" s="390"/>
      <c r="I61" s="390"/>
      <c r="J61" s="390"/>
      <c r="K61" s="390"/>
      <c r="L61" s="390"/>
      <c r="M61" s="388"/>
    </row>
    <row r="62" spans="2:13" ht="15" thickBot="1">
      <c r="B62" s="391"/>
      <c r="C62" s="2113"/>
      <c r="D62" s="2113"/>
      <c r="E62" s="2113"/>
      <c r="F62" s="2113"/>
      <c r="G62" s="2114"/>
      <c r="H62" s="392"/>
      <c r="I62" s="392"/>
      <c r="J62" s="392"/>
      <c r="K62" s="392"/>
      <c r="L62" s="392"/>
      <c r="M62" s="393"/>
    </row>
    <row r="63" spans="2:13" ht="18.600000000000001">
      <c r="B63" s="520"/>
      <c r="C63" s="521"/>
      <c r="D63" s="521"/>
      <c r="E63" s="521"/>
      <c r="F63" s="522"/>
      <c r="G63" s="523"/>
      <c r="H63" s="522"/>
      <c r="I63" s="7"/>
      <c r="J63" s="213"/>
      <c r="K63" s="213"/>
      <c r="L63" s="213"/>
      <c r="M63" s="213"/>
    </row>
    <row r="64" spans="2:13" ht="18.75" customHeight="1">
      <c r="B64" s="536"/>
      <c r="C64" s="536"/>
      <c r="D64" s="536"/>
      <c r="E64" s="536"/>
      <c r="F64" s="535"/>
      <c r="G64" s="523"/>
      <c r="H64" s="522"/>
      <c r="I64" s="7"/>
      <c r="J64" s="213"/>
      <c r="K64" s="213"/>
      <c r="L64" s="213"/>
      <c r="M64" s="213"/>
    </row>
    <row r="65" spans="2:37" ht="18.600000000000001">
      <c r="B65" s="536"/>
      <c r="C65" s="536"/>
      <c r="D65" s="536"/>
      <c r="E65" s="536"/>
      <c r="F65" s="535"/>
      <c r="G65" s="523"/>
      <c r="H65" s="522"/>
      <c r="I65" s="7"/>
      <c r="J65" s="213"/>
      <c r="K65" s="213"/>
      <c r="L65" s="213"/>
      <c r="M65" s="213"/>
    </row>
    <row r="66" spans="2:37" ht="18.600000000000001">
      <c r="B66" s="536"/>
      <c r="C66" s="536"/>
      <c r="D66" s="536"/>
      <c r="E66" s="536"/>
      <c r="F66" s="522"/>
      <c r="G66" s="523"/>
      <c r="H66" s="522"/>
      <c r="I66" s="7"/>
      <c r="J66" s="213"/>
      <c r="K66" s="213"/>
      <c r="L66" s="213"/>
      <c r="M66" s="213"/>
    </row>
    <row r="67" spans="2:37" ht="18">
      <c r="B67" s="1935" t="s">
        <v>628</v>
      </c>
      <c r="C67" s="1935"/>
      <c r="D67" s="1935"/>
      <c r="E67" s="1935"/>
      <c r="F67" s="1935"/>
      <c r="G67" s="1935"/>
      <c r="H67" s="1935"/>
      <c r="I67" s="1935"/>
      <c r="J67" s="1935"/>
      <c r="K67" s="1935"/>
      <c r="L67" s="1935"/>
      <c r="M67" s="1935"/>
    </row>
    <row r="68" spans="2:37" ht="18">
      <c r="B68" s="543" t="s">
        <v>623</v>
      </c>
      <c r="C68" s="1921" t="s">
        <v>622</v>
      </c>
      <c r="D68" s="1921"/>
      <c r="E68" s="1921"/>
      <c r="F68" s="1921"/>
      <c r="G68" s="1921"/>
      <c r="H68" s="1921"/>
      <c r="I68" s="1921"/>
      <c r="J68" s="1921"/>
      <c r="K68" s="1921"/>
      <c r="L68" s="1921"/>
      <c r="M68" s="1922"/>
    </row>
    <row r="69" spans="2:37" ht="18">
      <c r="B69" s="544" t="s">
        <v>40</v>
      </c>
      <c r="C69" s="1919" t="s">
        <v>625</v>
      </c>
      <c r="D69" s="1920"/>
      <c r="E69" s="1920"/>
      <c r="F69" s="1920"/>
      <c r="G69" s="1920"/>
      <c r="H69" s="1920"/>
      <c r="I69" s="1920"/>
      <c r="J69" s="1920"/>
      <c r="K69" s="1920"/>
      <c r="L69" s="1920"/>
      <c r="M69" s="1920"/>
    </row>
    <row r="70" spans="2:37" ht="18" customHeight="1">
      <c r="B70" s="544" t="s">
        <v>40</v>
      </c>
      <c r="C70" s="1919" t="s">
        <v>624</v>
      </c>
      <c r="D70" s="1920"/>
      <c r="E70" s="1920"/>
      <c r="F70" s="1920"/>
      <c r="G70" s="1920"/>
      <c r="H70" s="1920"/>
      <c r="I70" s="1920"/>
      <c r="J70" s="1920"/>
      <c r="K70" s="1920"/>
      <c r="L70" s="1920"/>
      <c r="M70" s="1920"/>
    </row>
    <row r="71" spans="2:37" ht="39.75" customHeight="1">
      <c r="B71" s="544" t="s">
        <v>40</v>
      </c>
      <c r="C71" s="1931" t="e">
        <f>IF(OR(type=usees,type =surface), "", "• Attestation de qualification du foreur - RGE Qualiforage (valide au moment de la réalisation; les attestations provisoires ou en cours d'instruction sont acceptées, uniquement pour les BE fluides) ")</f>
        <v>#REF!</v>
      </c>
      <c r="D71" s="1932"/>
      <c r="E71" s="1932"/>
      <c r="F71" s="1932"/>
      <c r="G71" s="1932"/>
      <c r="H71" s="1932"/>
      <c r="I71" s="1932"/>
      <c r="J71" s="1932"/>
      <c r="K71" s="1932"/>
      <c r="L71" s="1932"/>
      <c r="M71" s="1932"/>
    </row>
    <row r="72" spans="2:37" ht="42.75" customHeight="1">
      <c r="B72" s="544" t="s">
        <v>41</v>
      </c>
      <c r="C72" s="1931" t="e">
        <f>IF(OR(type=usees,type =surface), "", "• Attestation de qualification du BE sous-sol - OPQIBI(valide au moment de la réalisation; les attestations provisoires ou en cours d'instruction sont acceptées, uniquement pour les BE fluides) ")</f>
        <v>#REF!</v>
      </c>
      <c r="D72" s="1932"/>
      <c r="E72" s="1932"/>
      <c r="F72" s="1932"/>
      <c r="G72" s="1932"/>
      <c r="H72" s="1932"/>
      <c r="I72" s="1932"/>
      <c r="J72" s="1932"/>
      <c r="K72" s="1932"/>
      <c r="L72" s="1932"/>
      <c r="M72" s="1932"/>
    </row>
    <row r="73" spans="2:37" ht="19.5" customHeight="1">
      <c r="B73" s="544"/>
      <c r="C73" s="1933" t="s">
        <v>598</v>
      </c>
      <c r="D73" s="1934"/>
      <c r="E73" s="1934"/>
      <c r="F73" s="1934"/>
      <c r="G73" s="1934"/>
      <c r="H73" s="1934"/>
      <c r="I73" s="1934"/>
      <c r="J73" s="1934"/>
      <c r="K73" s="1934"/>
      <c r="L73" s="1934"/>
      <c r="M73" s="1934"/>
    </row>
    <row r="74" spans="2:37" ht="65.25" customHeight="1">
      <c r="B74" s="544"/>
      <c r="C74" s="545"/>
      <c r="D74" s="1923" t="s">
        <v>626</v>
      </c>
      <c r="E74" s="1923"/>
      <c r="F74" s="1923"/>
      <c r="G74" s="1923"/>
      <c r="H74" s="1923"/>
      <c r="I74" s="1923"/>
      <c r="J74" s="1923"/>
      <c r="K74" s="1923"/>
      <c r="L74" s="1923"/>
      <c r="M74" s="1924"/>
      <c r="S74" s="10"/>
      <c r="U74" s="1"/>
      <c r="V74" s="216"/>
    </row>
    <row r="75" spans="2:37">
      <c r="B75" s="544"/>
      <c r="C75" s="546"/>
      <c r="D75" s="1925" t="s">
        <v>597</v>
      </c>
      <c r="E75" s="1925"/>
      <c r="F75" s="1925"/>
      <c r="G75" s="1925"/>
      <c r="H75" s="1925"/>
      <c r="I75" s="1925"/>
      <c r="J75" s="1925"/>
      <c r="K75" s="1925"/>
      <c r="L75" s="1925"/>
      <c r="M75" s="1926"/>
      <c r="S75" s="10"/>
      <c r="U75" s="1"/>
      <c r="V75" s="216"/>
    </row>
    <row r="76" spans="2:37" ht="30.75" customHeight="1">
      <c r="B76" s="544"/>
      <c r="C76" s="546"/>
      <c r="D76" s="1927" t="e">
        <f>IF(type=sondes,"PAC sur sondes : normes NFX 10-960-1, 10 960-2, 10 960-3, 10 960-4, NFX 10-970 relatives à la mise en place des sondes géothermiques verticales","")</f>
        <v>#REF!</v>
      </c>
      <c r="E76" s="1927"/>
      <c r="F76" s="1927"/>
      <c r="G76" s="1927"/>
      <c r="H76" s="1927"/>
      <c r="I76" s="1927"/>
      <c r="J76" s="1927"/>
      <c r="K76" s="1927"/>
      <c r="L76" s="1927"/>
      <c r="M76" s="1928"/>
      <c r="S76" s="10"/>
      <c r="U76" s="1"/>
      <c r="V76" s="216"/>
    </row>
    <row r="77" spans="2:37">
      <c r="B77" s="544"/>
      <c r="C77" s="546"/>
      <c r="D77" s="1925" t="e">
        <f>IF(type=nappe,"PAC sur nappe : Respect des normes de forage d’eau (NFX 10-999).","")</f>
        <v>#REF!</v>
      </c>
      <c r="E77" s="1925"/>
      <c r="F77" s="1925"/>
      <c r="G77" s="1925"/>
      <c r="H77" s="1925"/>
      <c r="I77" s="1925"/>
      <c r="J77" s="1925"/>
      <c r="K77" s="1925"/>
      <c r="L77" s="1925"/>
      <c r="M77" s="1926"/>
      <c r="S77" s="10"/>
      <c r="U77" s="1"/>
      <c r="V77" s="216"/>
    </row>
    <row r="78" spans="2:37" ht="45.75" customHeight="1">
      <c r="B78" s="544"/>
      <c r="C78" s="547"/>
      <c r="D78" s="1929" t="s">
        <v>627</v>
      </c>
      <c r="E78" s="1929"/>
      <c r="F78" s="1929"/>
      <c r="G78" s="1929"/>
      <c r="H78" s="1929"/>
      <c r="I78" s="1929"/>
      <c r="J78" s="1929"/>
      <c r="K78" s="1929"/>
      <c r="L78" s="1929"/>
      <c r="M78" s="1930"/>
      <c r="S78" s="10"/>
      <c r="U78" s="1"/>
      <c r="V78" s="216"/>
    </row>
    <row r="79" spans="2:37" s="1" customFormat="1">
      <c r="N79" s="10"/>
      <c r="O79" s="10"/>
      <c r="P79" s="10"/>
      <c r="Q79" s="10"/>
      <c r="R79" s="10"/>
      <c r="U79" s="219"/>
    </row>
    <row r="80" spans="2:37" ht="15" hidden="1" customHeight="1">
      <c r="B80" s="228"/>
      <c r="C80" s="1908"/>
      <c r="D80" s="1908"/>
      <c r="E80" s="1908"/>
      <c r="F80" s="1908"/>
      <c r="G80" s="1908"/>
      <c r="H80" s="1908"/>
      <c r="I80" s="1908"/>
      <c r="J80" s="1908"/>
      <c r="K80" s="1908"/>
      <c r="L80" s="1908"/>
      <c r="M80" s="227"/>
      <c r="U80" s="223"/>
      <c r="V80" s="221"/>
      <c r="W80" s="222"/>
      <c r="X80" s="222"/>
      <c r="Y80" s="222"/>
      <c r="Z80" s="222"/>
      <c r="AA80" s="222"/>
      <c r="AB80" s="222"/>
      <c r="AC80" s="222"/>
      <c r="AD80" s="222"/>
      <c r="AE80" s="222"/>
      <c r="AF80" s="222"/>
      <c r="AG80" s="222"/>
      <c r="AH80" s="222"/>
      <c r="AI80" s="222"/>
      <c r="AJ80" s="222"/>
      <c r="AK80" s="222"/>
    </row>
    <row r="81" spans="2:37" ht="15" hidden="1" customHeight="1">
      <c r="B81" s="229"/>
      <c r="C81" s="1908"/>
      <c r="D81" s="1908"/>
      <c r="E81" s="1908"/>
      <c r="F81" s="1908"/>
      <c r="G81" s="1908"/>
      <c r="H81" s="1908"/>
      <c r="I81" s="1908"/>
      <c r="J81" s="1908"/>
      <c r="K81" s="1908"/>
      <c r="L81" s="1908"/>
      <c r="M81" s="227"/>
      <c r="U81" s="223"/>
      <c r="V81" s="224"/>
      <c r="W81" s="222"/>
      <c r="X81" s="222"/>
      <c r="Y81" s="222"/>
      <c r="Z81" s="222"/>
      <c r="AA81" s="222"/>
      <c r="AB81" s="222"/>
      <c r="AC81" s="222"/>
      <c r="AD81" s="221" t="s">
        <v>386</v>
      </c>
      <c r="AE81" s="222"/>
      <c r="AF81" s="222"/>
      <c r="AG81" s="222"/>
      <c r="AH81" s="222"/>
      <c r="AI81" s="222"/>
      <c r="AJ81" s="222"/>
      <c r="AK81" s="222"/>
    </row>
    <row r="82" spans="2:37" ht="15" hidden="1" customHeight="1">
      <c r="B82" s="229"/>
      <c r="C82" s="1908"/>
      <c r="D82" s="1908"/>
      <c r="E82" s="1908"/>
      <c r="F82" s="1908"/>
      <c r="G82" s="1908"/>
      <c r="H82" s="1908"/>
      <c r="I82" s="1908"/>
      <c r="J82" s="1908"/>
      <c r="K82" s="1908"/>
      <c r="L82" s="1908"/>
      <c r="M82" s="227"/>
      <c r="U82" s="223"/>
      <c r="V82" s="224"/>
      <c r="W82" s="222"/>
      <c r="X82" s="222"/>
      <c r="Y82" s="222"/>
      <c r="Z82" s="222"/>
      <c r="AA82" s="222"/>
      <c r="AB82" s="222"/>
      <c r="AC82" s="222"/>
      <c r="AD82" s="224" t="s">
        <v>387</v>
      </c>
      <c r="AE82" s="222"/>
      <c r="AF82" s="222"/>
      <c r="AG82" s="222"/>
      <c r="AH82" s="222"/>
      <c r="AI82" s="222"/>
      <c r="AJ82" s="222"/>
      <c r="AK82" s="222"/>
    </row>
    <row r="83" spans="2:37" ht="15" hidden="1" customHeight="1">
      <c r="B83" s="229"/>
      <c r="C83" s="1908"/>
      <c r="D83" s="1908"/>
      <c r="E83" s="1908"/>
      <c r="F83" s="1908"/>
      <c r="G83" s="1908"/>
      <c r="H83" s="1908"/>
      <c r="I83" s="1908"/>
      <c r="J83" s="1908"/>
      <c r="K83" s="1908"/>
      <c r="L83" s="1908"/>
      <c r="M83" s="227"/>
      <c r="U83" s="223"/>
      <c r="V83" s="221"/>
      <c r="W83" s="222"/>
      <c r="X83" s="222"/>
      <c r="Y83" s="222"/>
      <c r="Z83" s="222"/>
      <c r="AA83" s="222"/>
      <c r="AB83" s="222"/>
      <c r="AC83" s="222"/>
    </row>
    <row r="84" spans="2:37">
      <c r="B84" s="2068" t="s">
        <v>388</v>
      </c>
      <c r="C84" s="2069"/>
      <c r="D84" s="2069"/>
      <c r="E84" s="2069"/>
      <c r="F84" s="2069"/>
      <c r="G84" s="2069"/>
      <c r="H84" s="2069"/>
      <c r="I84" s="2069"/>
      <c r="J84" s="2069"/>
      <c r="K84" s="2069"/>
      <c r="L84" s="2069"/>
      <c r="M84" s="2070"/>
      <c r="N84" s="10" t="s">
        <v>385</v>
      </c>
      <c r="U84" s="223"/>
      <c r="V84" s="224"/>
      <c r="W84" s="222"/>
      <c r="X84" s="222"/>
      <c r="Y84" s="222"/>
      <c r="Z84" s="222"/>
      <c r="AA84" s="222"/>
      <c r="AB84" s="222"/>
      <c r="AC84" s="222"/>
    </row>
    <row r="85" spans="2:37">
      <c r="B85" s="226"/>
      <c r="C85" s="2071" t="s">
        <v>389</v>
      </c>
      <c r="D85" s="2072"/>
      <c r="E85" s="2072"/>
      <c r="F85" s="2072"/>
      <c r="G85" s="2073"/>
      <c r="H85" s="2071" t="s">
        <v>390</v>
      </c>
      <c r="I85" s="2072"/>
      <c r="J85" s="2073"/>
      <c r="K85" s="2071" t="s">
        <v>391</v>
      </c>
      <c r="L85" s="2073"/>
      <c r="M85" s="227"/>
      <c r="N85" s="10" t="s">
        <v>392</v>
      </c>
      <c r="U85" s="223"/>
      <c r="V85" s="221"/>
      <c r="W85" s="222"/>
      <c r="X85" s="222"/>
      <c r="Y85" s="222"/>
      <c r="Z85" s="222"/>
      <c r="AA85" s="222"/>
      <c r="AB85" s="222"/>
      <c r="AC85" s="222"/>
    </row>
    <row r="86" spans="2:37">
      <c r="B86" s="226"/>
      <c r="C86" s="2064"/>
      <c r="D86" s="2065"/>
      <c r="E86" s="2065"/>
      <c r="F86" s="2065"/>
      <c r="G86" s="2066"/>
      <c r="H86" s="2064"/>
      <c r="I86" s="2065"/>
      <c r="J86" s="2066"/>
      <c r="K86" s="2064"/>
      <c r="L86" s="2066"/>
      <c r="M86" s="227"/>
      <c r="U86" s="223"/>
      <c r="V86" s="224"/>
      <c r="W86" s="222"/>
      <c r="X86" s="222"/>
      <c r="Y86" s="222"/>
      <c r="Z86" s="222"/>
      <c r="AA86" s="222"/>
      <c r="AB86" s="222"/>
      <c r="AC86" s="222"/>
    </row>
    <row r="87" spans="2:37">
      <c r="B87" s="226"/>
      <c r="C87" s="2064"/>
      <c r="D87" s="2065"/>
      <c r="E87" s="2065"/>
      <c r="F87" s="2065"/>
      <c r="G87" s="2066"/>
      <c r="H87" s="2064"/>
      <c r="I87" s="2065"/>
      <c r="J87" s="2066"/>
      <c r="K87" s="2064"/>
      <c r="L87" s="2066"/>
      <c r="M87" s="227"/>
      <c r="O87" s="10" t="s">
        <v>393</v>
      </c>
      <c r="U87" s="223"/>
      <c r="V87" s="222"/>
      <c r="W87" s="222"/>
      <c r="X87" s="222"/>
      <c r="Y87" s="222"/>
      <c r="Z87" s="222"/>
      <c r="AA87" s="222"/>
      <c r="AB87" s="222"/>
      <c r="AC87" s="222"/>
    </row>
    <row r="88" spans="2:37" ht="15" customHeight="1">
      <c r="B88" s="229"/>
      <c r="C88" s="2064"/>
      <c r="D88" s="2065"/>
      <c r="E88" s="2065"/>
      <c r="F88" s="2065"/>
      <c r="G88" s="2066"/>
      <c r="H88" s="2064"/>
      <c r="I88" s="2065"/>
      <c r="J88" s="2066"/>
      <c r="K88" s="2064"/>
      <c r="L88" s="2066"/>
      <c r="M88" s="227"/>
      <c r="O88" s="2063" t="s">
        <v>394</v>
      </c>
      <c r="T88" s="189"/>
      <c r="U88" s="223"/>
      <c r="V88" s="221"/>
      <c r="W88" s="222"/>
      <c r="X88" s="222"/>
      <c r="Y88" s="222"/>
      <c r="Z88" s="222"/>
      <c r="AA88" s="222"/>
      <c r="AB88" s="222"/>
      <c r="AC88" s="222"/>
    </row>
    <row r="89" spans="2:37" ht="14.25" customHeight="1">
      <c r="B89" s="229"/>
      <c r="C89" s="2064"/>
      <c r="D89" s="2065"/>
      <c r="E89" s="2065"/>
      <c r="F89" s="2065"/>
      <c r="G89" s="2066"/>
      <c r="H89" s="2064"/>
      <c r="I89" s="2065"/>
      <c r="J89" s="2066"/>
      <c r="K89" s="2064"/>
      <c r="L89" s="2066"/>
      <c r="M89" s="227"/>
      <c r="O89" s="2063"/>
      <c r="U89" s="223"/>
      <c r="V89" s="224"/>
      <c r="W89" s="222"/>
      <c r="X89" s="222"/>
      <c r="Y89" s="222"/>
      <c r="Z89" s="222"/>
      <c r="AA89" s="222"/>
      <c r="AB89" s="222"/>
      <c r="AC89" s="222"/>
    </row>
    <row r="90" spans="2:37">
      <c r="B90" s="229"/>
      <c r="C90" s="2064"/>
      <c r="D90" s="2065"/>
      <c r="E90" s="2065"/>
      <c r="F90" s="2065"/>
      <c r="G90" s="2066"/>
      <c r="H90" s="2064"/>
      <c r="I90" s="2065"/>
      <c r="J90" s="2066"/>
      <c r="K90" s="2064"/>
      <c r="L90" s="2066"/>
      <c r="M90" s="227"/>
      <c r="O90" s="2063"/>
      <c r="U90" s="223"/>
      <c r="V90" s="222"/>
      <c r="W90" s="222"/>
      <c r="X90" s="222"/>
      <c r="Y90" s="222"/>
      <c r="Z90" s="222"/>
      <c r="AA90" s="222"/>
      <c r="AB90" s="222"/>
      <c r="AC90" s="222"/>
    </row>
    <row r="91" spans="2:37">
      <c r="B91" s="2058" t="s">
        <v>6</v>
      </c>
      <c r="C91" s="2059"/>
      <c r="D91" s="2059"/>
      <c r="E91" s="2059"/>
      <c r="F91" s="2059"/>
      <c r="G91" s="2059"/>
      <c r="H91" s="2059"/>
      <c r="I91" s="2059"/>
      <c r="J91" s="2059"/>
      <c r="K91" s="2059"/>
      <c r="L91" s="2059"/>
      <c r="M91" s="2060"/>
      <c r="O91" s="2063"/>
      <c r="U91" s="223"/>
      <c r="V91" s="221"/>
      <c r="W91" s="222"/>
      <c r="X91" s="222"/>
      <c r="Y91" s="222"/>
      <c r="Z91" s="222"/>
      <c r="AA91" s="222"/>
      <c r="AB91" s="222"/>
      <c r="AC91" s="222"/>
    </row>
    <row r="92" spans="2:37">
      <c r="B92" s="226"/>
      <c r="C92" s="1908"/>
      <c r="D92" s="1908"/>
      <c r="E92" s="1908"/>
      <c r="F92" s="1908"/>
      <c r="G92" s="1908"/>
      <c r="H92" s="1908"/>
      <c r="I92" s="1908"/>
      <c r="J92" s="1908"/>
      <c r="K92" s="1908"/>
      <c r="L92" s="1908"/>
      <c r="M92" s="227"/>
      <c r="O92" s="2063"/>
      <c r="U92" s="223"/>
      <c r="V92" s="224"/>
      <c r="W92" s="222"/>
      <c r="X92" s="222"/>
      <c r="Y92" s="222"/>
      <c r="Z92" s="222"/>
      <c r="AA92" s="222"/>
      <c r="AB92" s="222"/>
      <c r="AC92" s="222"/>
    </row>
    <row r="93" spans="2:37">
      <c r="B93" s="226"/>
      <c r="C93" s="1908"/>
      <c r="D93" s="1908"/>
      <c r="E93" s="1908"/>
      <c r="F93" s="1908"/>
      <c r="G93" s="1908"/>
      <c r="H93" s="1908"/>
      <c r="I93" s="1908"/>
      <c r="J93" s="1908"/>
      <c r="K93" s="1908"/>
      <c r="L93" s="1908"/>
      <c r="M93" s="227"/>
      <c r="O93" s="2063"/>
      <c r="U93" s="223"/>
      <c r="V93" s="224"/>
      <c r="W93" s="222"/>
      <c r="X93" s="222"/>
      <c r="Y93" s="222"/>
      <c r="Z93" s="222"/>
      <c r="AA93" s="222"/>
      <c r="AB93" s="222"/>
      <c r="AC93" s="222"/>
    </row>
    <row r="94" spans="2:37" ht="15" hidden="1" customHeight="1">
      <c r="B94" s="226"/>
      <c r="C94" s="1908"/>
      <c r="D94" s="1908"/>
      <c r="E94" s="1908"/>
      <c r="F94" s="1908"/>
      <c r="G94" s="1908"/>
      <c r="H94" s="1908"/>
      <c r="I94" s="1908"/>
      <c r="J94" s="1908"/>
      <c r="K94" s="1908"/>
      <c r="L94" s="1908"/>
      <c r="M94" s="227"/>
      <c r="O94" s="2063"/>
      <c r="U94" s="223"/>
      <c r="V94" s="222"/>
      <c r="W94" s="222"/>
      <c r="X94" s="222"/>
      <c r="Y94" s="222"/>
      <c r="Z94" s="222"/>
      <c r="AA94" s="222"/>
      <c r="AB94" s="222"/>
      <c r="AC94" s="222"/>
    </row>
    <row r="95" spans="2:37" ht="15" hidden="1" customHeight="1">
      <c r="B95" s="226"/>
      <c r="C95" s="1908"/>
      <c r="D95" s="1908"/>
      <c r="E95" s="1908"/>
      <c r="F95" s="1908"/>
      <c r="G95" s="1908"/>
      <c r="H95" s="1908"/>
      <c r="I95" s="1908"/>
      <c r="J95" s="1908"/>
      <c r="K95" s="1908"/>
      <c r="L95" s="1908"/>
      <c r="M95" s="227"/>
      <c r="O95" s="2063"/>
      <c r="U95" s="223"/>
      <c r="V95" s="222"/>
      <c r="W95" s="222"/>
      <c r="X95" s="222"/>
      <c r="Y95" s="222"/>
      <c r="Z95" s="222"/>
      <c r="AA95" s="222"/>
      <c r="AB95" s="222"/>
      <c r="AC95" s="222"/>
    </row>
    <row r="96" spans="2:37" ht="15.75" hidden="1" customHeight="1">
      <c r="B96" s="229"/>
      <c r="C96" s="1908"/>
      <c r="D96" s="1908"/>
      <c r="E96" s="1908"/>
      <c r="F96" s="1908"/>
      <c r="G96" s="1908"/>
      <c r="H96" s="1908"/>
      <c r="I96" s="1908"/>
      <c r="J96" s="1908"/>
      <c r="K96" s="1908"/>
      <c r="L96" s="1908"/>
      <c r="M96" s="227"/>
      <c r="O96" s="2063"/>
      <c r="U96" s="223"/>
      <c r="V96" s="222"/>
      <c r="W96" s="222"/>
      <c r="X96" s="222"/>
      <c r="Y96" s="222"/>
      <c r="Z96" s="222"/>
      <c r="AA96" s="222"/>
      <c r="AB96" s="222"/>
      <c r="AC96" s="222"/>
    </row>
    <row r="97" spans="1:29" ht="15.75" hidden="1" customHeight="1">
      <c r="B97" s="229"/>
      <c r="C97" s="1908"/>
      <c r="D97" s="1908"/>
      <c r="E97" s="1908"/>
      <c r="F97" s="1908"/>
      <c r="G97" s="1908"/>
      <c r="H97" s="1908"/>
      <c r="I97" s="1908"/>
      <c r="J97" s="1908"/>
      <c r="K97" s="1908"/>
      <c r="L97" s="1908"/>
      <c r="M97" s="227"/>
      <c r="O97" s="2063"/>
      <c r="U97" s="223"/>
      <c r="V97" s="222"/>
      <c r="W97" s="222"/>
      <c r="X97" s="222"/>
      <c r="Y97" s="222"/>
      <c r="Z97" s="222"/>
      <c r="AA97" s="222"/>
      <c r="AB97" s="222"/>
      <c r="AC97" s="222"/>
    </row>
    <row r="98" spans="1:29" ht="15.75" hidden="1" customHeight="1">
      <c r="B98" s="229"/>
      <c r="C98" s="1908"/>
      <c r="D98" s="1908"/>
      <c r="E98" s="1908"/>
      <c r="F98" s="1908"/>
      <c r="G98" s="1908"/>
      <c r="H98" s="1908"/>
      <c r="I98" s="1908"/>
      <c r="J98" s="1908"/>
      <c r="K98" s="1908"/>
      <c r="L98" s="1908"/>
      <c r="M98" s="227"/>
      <c r="O98" s="2063"/>
      <c r="U98" s="223"/>
      <c r="V98" s="222"/>
      <c r="W98" s="222"/>
      <c r="X98" s="222"/>
      <c r="Y98" s="222"/>
      <c r="Z98" s="222"/>
      <c r="AA98" s="222"/>
      <c r="AB98" s="222"/>
      <c r="AC98" s="222"/>
    </row>
    <row r="99" spans="1:29" ht="15" thickBot="1">
      <c r="B99" s="230"/>
      <c r="C99" s="2067"/>
      <c r="D99" s="2067"/>
      <c r="E99" s="2067"/>
      <c r="F99" s="2067"/>
      <c r="G99" s="2067"/>
      <c r="H99" s="2067"/>
      <c r="I99" s="2067"/>
      <c r="J99" s="2067"/>
      <c r="K99" s="2067"/>
      <c r="L99" s="2067"/>
      <c r="M99" s="231"/>
      <c r="O99" s="2063"/>
      <c r="U99" s="223"/>
      <c r="V99" s="222"/>
      <c r="W99" s="222"/>
      <c r="X99" s="222"/>
      <c r="Y99" s="222"/>
      <c r="Z99" s="222"/>
      <c r="AA99" s="222"/>
      <c r="AB99" s="222"/>
      <c r="AC99" s="222"/>
    </row>
    <row r="100" spans="1:29">
      <c r="A100" s="4"/>
      <c r="B100" s="4"/>
      <c r="C100" s="4"/>
      <c r="D100" s="4"/>
      <c r="E100" s="4"/>
      <c r="F100" s="4"/>
      <c r="G100" s="4"/>
      <c r="H100" s="4"/>
      <c r="I100" s="4"/>
      <c r="J100" s="4"/>
      <c r="K100" s="4"/>
      <c r="L100" s="4"/>
      <c r="M100" s="15"/>
      <c r="U100" s="223"/>
      <c r="V100" s="221"/>
      <c r="W100" s="222"/>
      <c r="X100" s="222"/>
      <c r="Y100" s="222"/>
      <c r="Z100" s="222"/>
      <c r="AA100" s="222"/>
      <c r="AB100" s="222"/>
      <c r="AC100" s="222"/>
    </row>
    <row r="101" spans="1:29">
      <c r="A101" s="4"/>
      <c r="B101" s="4"/>
      <c r="C101" s="4"/>
      <c r="D101" s="4"/>
      <c r="E101" s="4"/>
      <c r="F101" s="4"/>
      <c r="G101" s="4"/>
      <c r="H101" s="4"/>
      <c r="I101" s="4"/>
      <c r="J101" s="4"/>
      <c r="K101" s="4"/>
      <c r="L101" s="4"/>
      <c r="M101" s="15"/>
      <c r="U101" s="223"/>
      <c r="V101" s="224"/>
      <c r="W101" s="222"/>
      <c r="X101" s="222"/>
      <c r="Y101" s="222"/>
      <c r="Z101" s="222"/>
      <c r="AA101" s="222"/>
      <c r="AB101" s="222"/>
      <c r="AC101" s="222"/>
    </row>
    <row r="102" spans="1:29" ht="18">
      <c r="B102" s="1935" t="s">
        <v>630</v>
      </c>
      <c r="C102" s="1935"/>
      <c r="D102" s="1935"/>
      <c r="E102" s="1935"/>
      <c r="F102" s="1935"/>
      <c r="G102" s="1935"/>
      <c r="H102" s="1935"/>
      <c r="I102" s="1935"/>
      <c r="J102" s="1935"/>
      <c r="K102" s="1935"/>
      <c r="L102" s="1935"/>
      <c r="M102" s="1935"/>
      <c r="U102" s="223"/>
      <c r="V102" s="222"/>
      <c r="W102" s="222"/>
      <c r="X102" s="222"/>
      <c r="Y102" s="222"/>
      <c r="Z102" s="222"/>
      <c r="AA102" s="222"/>
      <c r="AB102" s="222"/>
      <c r="AC102" s="222"/>
    </row>
    <row r="103" spans="1:29">
      <c r="B103" s="2058" t="s">
        <v>395</v>
      </c>
      <c r="C103" s="2059"/>
      <c r="D103" s="2059"/>
      <c r="E103" s="2059"/>
      <c r="F103" s="2059"/>
      <c r="G103" s="2059"/>
      <c r="H103" s="2059"/>
      <c r="I103" s="2059"/>
      <c r="J103" s="2059"/>
      <c r="K103" s="2059"/>
      <c r="L103" s="2059"/>
      <c r="M103" s="2060"/>
      <c r="U103" s="2061" t="s">
        <v>396</v>
      </c>
      <c r="V103" s="2062"/>
      <c r="W103" s="2062"/>
      <c r="X103" s="2062"/>
      <c r="Y103" s="2062"/>
      <c r="Z103" s="2062"/>
      <c r="AA103" s="2062"/>
      <c r="AB103" s="2062"/>
      <c r="AC103" s="2062"/>
    </row>
    <row r="104" spans="1:29">
      <c r="B104" s="2041" t="s">
        <v>397</v>
      </c>
      <c r="C104" s="2042"/>
      <c r="D104" s="2042"/>
      <c r="E104" s="2042"/>
      <c r="F104" s="2042"/>
      <c r="G104" s="2043"/>
      <c r="H104" s="232">
        <v>325</v>
      </c>
      <c r="I104" s="27"/>
      <c r="J104" s="75"/>
      <c r="K104" s="75"/>
      <c r="L104" s="75"/>
      <c r="M104" s="233"/>
      <c r="U104" s="2061"/>
      <c r="V104" s="2062"/>
      <c r="W104" s="2062"/>
      <c r="X104" s="2062"/>
      <c r="Y104" s="2062"/>
      <c r="Z104" s="2062"/>
      <c r="AA104" s="2062"/>
      <c r="AB104" s="2062"/>
      <c r="AC104" s="2062"/>
    </row>
    <row r="105" spans="1:29" ht="17.399999999999999">
      <c r="B105" s="2041" t="s">
        <v>398</v>
      </c>
      <c r="C105" s="2042"/>
      <c r="D105" s="2042"/>
      <c r="E105" s="2042"/>
      <c r="F105" s="2042"/>
      <c r="G105" s="2043"/>
      <c r="H105" s="234">
        <f>COUNTA(G116:S116)</f>
        <v>0</v>
      </c>
      <c r="I105" s="75"/>
      <c r="J105" s="75"/>
      <c r="K105" s="75"/>
      <c r="L105" s="75"/>
      <c r="M105" s="233"/>
      <c r="U105" s="235">
        <v>1</v>
      </c>
      <c r="V105" s="236" t="s">
        <v>399</v>
      </c>
      <c r="W105" s="237"/>
      <c r="X105" s="237"/>
      <c r="Y105" s="237"/>
      <c r="Z105" s="237"/>
      <c r="AA105" s="237"/>
      <c r="AB105" s="237"/>
      <c r="AC105" s="238"/>
    </row>
    <row r="106" spans="1:29" ht="17.399999999999999">
      <c r="B106" s="2038" t="s">
        <v>46</v>
      </c>
      <c r="C106" s="2039"/>
      <c r="D106" s="2039"/>
      <c r="E106" s="2039"/>
      <c r="F106" s="2039"/>
      <c r="G106" s="2040"/>
      <c r="H106" s="239">
        <v>1</v>
      </c>
      <c r="I106" s="239">
        <v>2</v>
      </c>
      <c r="J106" s="239">
        <v>3</v>
      </c>
      <c r="K106" s="240">
        <v>4</v>
      </c>
      <c r="L106" s="241">
        <v>5</v>
      </c>
      <c r="M106" s="242">
        <v>6</v>
      </c>
      <c r="U106" s="243" t="s">
        <v>400</v>
      </c>
      <c r="V106" s="236" t="s">
        <v>401</v>
      </c>
      <c r="W106" s="237"/>
      <c r="X106" s="237"/>
      <c r="Y106" s="237"/>
      <c r="Z106" s="237"/>
      <c r="AA106" s="237"/>
      <c r="AB106" s="237"/>
      <c r="AC106" s="238"/>
    </row>
    <row r="107" spans="1:29">
      <c r="B107" s="2041" t="s">
        <v>402</v>
      </c>
      <c r="C107" s="2042"/>
      <c r="D107" s="2042"/>
      <c r="E107" s="2042"/>
      <c r="F107" s="2042"/>
      <c r="G107" s="2043"/>
      <c r="H107" s="244" t="s">
        <v>99</v>
      </c>
      <c r="I107" s="244"/>
      <c r="J107" s="245"/>
      <c r="K107" s="244"/>
      <c r="L107" s="246"/>
      <c r="M107" s="247"/>
    </row>
    <row r="108" spans="1:29">
      <c r="B108" s="2041" t="s">
        <v>403</v>
      </c>
      <c r="C108" s="2042"/>
      <c r="D108" s="2042"/>
      <c r="E108" s="2042"/>
      <c r="F108" s="2042"/>
      <c r="G108" s="2043"/>
      <c r="H108" s="232">
        <v>176</v>
      </c>
      <c r="I108" s="232"/>
      <c r="J108" s="248"/>
      <c r="K108" s="232"/>
      <c r="L108" s="249"/>
      <c r="M108" s="250"/>
    </row>
    <row r="109" spans="1:29">
      <c r="B109" s="2044" t="s">
        <v>50</v>
      </c>
      <c r="C109" s="2045"/>
      <c r="D109" s="2045"/>
      <c r="E109" s="2045"/>
      <c r="F109" s="2045"/>
      <c r="G109" s="2045"/>
      <c r="H109" s="2045"/>
      <c r="I109" s="2045"/>
      <c r="J109" s="2045"/>
      <c r="K109" s="2045"/>
      <c r="L109" s="2045"/>
      <c r="M109" s="2046"/>
    </row>
    <row r="110" spans="1:29">
      <c r="B110" s="2047"/>
      <c r="C110" s="2048"/>
      <c r="D110" s="2048"/>
      <c r="E110" s="2048"/>
      <c r="F110" s="2048"/>
      <c r="G110" s="2048"/>
      <c r="H110" s="2048"/>
      <c r="I110" s="2048"/>
      <c r="J110" s="2048"/>
      <c r="K110" s="2048"/>
      <c r="L110" s="2048"/>
      <c r="M110" s="2049"/>
    </row>
    <row r="111" spans="1:29">
      <c r="B111" s="2047"/>
      <c r="C111" s="2048"/>
      <c r="D111" s="2048"/>
      <c r="E111" s="2048"/>
      <c r="F111" s="2048"/>
      <c r="G111" s="2048"/>
      <c r="H111" s="2048"/>
      <c r="I111" s="2048"/>
      <c r="J111" s="2048"/>
      <c r="K111" s="2048"/>
      <c r="L111" s="2048"/>
      <c r="M111" s="2049"/>
    </row>
    <row r="112" spans="1:29" hidden="1">
      <c r="B112" s="2047"/>
      <c r="C112" s="2048"/>
      <c r="D112" s="2048"/>
      <c r="E112" s="2048"/>
      <c r="F112" s="2048"/>
      <c r="G112" s="2048"/>
      <c r="H112" s="2048"/>
      <c r="I112" s="2048"/>
      <c r="J112" s="2048"/>
      <c r="K112" s="2048"/>
      <c r="L112" s="2048"/>
      <c r="M112" s="2049"/>
    </row>
    <row r="113" spans="2:13" hidden="1">
      <c r="B113" s="2047"/>
      <c r="C113" s="2048"/>
      <c r="D113" s="2048"/>
      <c r="E113" s="2048"/>
      <c r="F113" s="2048"/>
      <c r="G113" s="2048"/>
      <c r="H113" s="2048"/>
      <c r="I113" s="2048"/>
      <c r="J113" s="2048"/>
      <c r="K113" s="2048"/>
      <c r="L113" s="2048"/>
      <c r="M113" s="2049"/>
    </row>
    <row r="114" spans="2:13" ht="15" hidden="1" thickBot="1">
      <c r="B114" s="2050"/>
      <c r="C114" s="2051"/>
      <c r="D114" s="2051"/>
      <c r="E114" s="2051"/>
      <c r="F114" s="2051"/>
      <c r="G114" s="2051"/>
      <c r="H114" s="2051"/>
      <c r="I114" s="2051"/>
      <c r="J114" s="2051"/>
      <c r="K114" s="2051"/>
      <c r="L114" s="2051"/>
      <c r="M114" s="2052"/>
    </row>
    <row r="115" spans="2:13">
      <c r="B115" s="2044" t="s">
        <v>404</v>
      </c>
      <c r="C115" s="2045"/>
      <c r="D115" s="2045"/>
      <c r="E115" s="2045"/>
      <c r="F115" s="2045"/>
      <c r="G115" s="2045"/>
      <c r="H115" s="2045"/>
      <c r="I115" s="2045"/>
      <c r="J115" s="2045"/>
      <c r="K115" s="2045"/>
      <c r="L115" s="2045"/>
      <c r="M115" s="2046"/>
    </row>
    <row r="116" spans="2:13">
      <c r="B116" s="2047"/>
      <c r="C116" s="2048"/>
      <c r="D116" s="2048"/>
      <c r="E116" s="2048"/>
      <c r="F116" s="2048"/>
      <c r="G116" s="2048"/>
      <c r="H116" s="2048"/>
      <c r="I116" s="2048"/>
      <c r="J116" s="2048"/>
      <c r="K116" s="2048"/>
      <c r="L116" s="2048"/>
      <c r="M116" s="2049"/>
    </row>
    <row r="117" spans="2:13">
      <c r="B117" s="2047"/>
      <c r="C117" s="2048"/>
      <c r="D117" s="2048"/>
      <c r="E117" s="2048"/>
      <c r="F117" s="2048"/>
      <c r="G117" s="2048"/>
      <c r="H117" s="2048"/>
      <c r="I117" s="2048"/>
      <c r="J117" s="2048"/>
      <c r="K117" s="2048"/>
      <c r="L117" s="2048"/>
      <c r="M117" s="2049"/>
    </row>
    <row r="118" spans="2:13" hidden="1">
      <c r="B118" s="2047"/>
      <c r="C118" s="2048"/>
      <c r="D118" s="2048"/>
      <c r="E118" s="2048"/>
      <c r="F118" s="2048"/>
      <c r="G118" s="2048"/>
      <c r="H118" s="2048"/>
      <c r="I118" s="2048"/>
      <c r="J118" s="2048"/>
      <c r="K118" s="2048"/>
      <c r="L118" s="2048"/>
      <c r="M118" s="2049"/>
    </row>
    <row r="119" spans="2:13" ht="15.75" hidden="1" customHeight="1">
      <c r="B119" s="2047"/>
      <c r="C119" s="2048"/>
      <c r="D119" s="2048"/>
      <c r="E119" s="2048"/>
      <c r="F119" s="2048"/>
      <c r="G119" s="2048"/>
      <c r="H119" s="2048"/>
      <c r="I119" s="2048"/>
      <c r="J119" s="2048"/>
      <c r="K119" s="2048"/>
      <c r="L119" s="2048"/>
      <c r="M119" s="2049"/>
    </row>
    <row r="120" spans="2:13" ht="15" hidden="1" customHeight="1" thickBot="1">
      <c r="B120" s="2050"/>
      <c r="C120" s="2051"/>
      <c r="D120" s="2051"/>
      <c r="E120" s="2051"/>
      <c r="F120" s="2051"/>
      <c r="G120" s="2051"/>
      <c r="H120" s="2051"/>
      <c r="I120" s="2051"/>
      <c r="J120" s="2051"/>
      <c r="K120" s="2051"/>
      <c r="L120" s="2051"/>
      <c r="M120" s="2052"/>
    </row>
    <row r="121" spans="2:13" ht="15.75" customHeight="1">
      <c r="B121" s="2044" t="s">
        <v>405</v>
      </c>
      <c r="C121" s="2045"/>
      <c r="D121" s="2045"/>
      <c r="E121" s="2045"/>
      <c r="F121" s="2045"/>
      <c r="G121" s="2045"/>
      <c r="H121" s="2045"/>
      <c r="I121" s="2045"/>
      <c r="J121" s="2045"/>
      <c r="K121" s="2045"/>
      <c r="L121" s="2045"/>
      <c r="M121" s="2046"/>
    </row>
    <row r="122" spans="2:13" ht="15" customHeight="1">
      <c r="B122" s="2047"/>
      <c r="C122" s="2048"/>
      <c r="D122" s="2048"/>
      <c r="E122" s="2048"/>
      <c r="F122" s="2048"/>
      <c r="G122" s="2048"/>
      <c r="H122" s="2048"/>
      <c r="I122" s="2048"/>
      <c r="J122" s="2048"/>
      <c r="K122" s="2048"/>
      <c r="L122" s="2048"/>
      <c r="M122" s="2049"/>
    </row>
    <row r="123" spans="2:13">
      <c r="B123" s="2047"/>
      <c r="C123" s="2048"/>
      <c r="D123" s="2048"/>
      <c r="E123" s="2048"/>
      <c r="F123" s="2048"/>
      <c r="G123" s="2048"/>
      <c r="H123" s="2048"/>
      <c r="I123" s="2048"/>
      <c r="J123" s="2048"/>
      <c r="K123" s="2048"/>
      <c r="L123" s="2048"/>
      <c r="M123" s="2049"/>
    </row>
    <row r="124" spans="2:13" ht="15.75" hidden="1" customHeight="1">
      <c r="B124" s="2047"/>
      <c r="C124" s="2048"/>
      <c r="D124" s="2048"/>
      <c r="E124" s="2048"/>
      <c r="F124" s="2048"/>
      <c r="G124" s="2048"/>
      <c r="H124" s="2048"/>
      <c r="I124" s="2048"/>
      <c r="J124" s="2048"/>
      <c r="K124" s="2048"/>
      <c r="L124" s="2048"/>
      <c r="M124" s="2049"/>
    </row>
    <row r="125" spans="2:13" ht="15.75" hidden="1" customHeight="1">
      <c r="B125" s="2047"/>
      <c r="C125" s="2048"/>
      <c r="D125" s="2048"/>
      <c r="E125" s="2048"/>
      <c r="F125" s="2048"/>
      <c r="G125" s="2048"/>
      <c r="H125" s="2048"/>
      <c r="I125" s="2048"/>
      <c r="J125" s="2048"/>
      <c r="K125" s="2048"/>
      <c r="L125" s="2048"/>
      <c r="M125" s="2049"/>
    </row>
    <row r="126" spans="2:13" ht="15.75" hidden="1" customHeight="1" thickBot="1">
      <c r="B126" s="2050"/>
      <c r="C126" s="2051"/>
      <c r="D126" s="2051"/>
      <c r="E126" s="2051"/>
      <c r="F126" s="2051"/>
      <c r="G126" s="2051"/>
      <c r="H126" s="2051"/>
      <c r="I126" s="2051"/>
      <c r="J126" s="2051"/>
      <c r="K126" s="2051"/>
      <c r="L126" s="2051"/>
      <c r="M126" s="2052"/>
    </row>
    <row r="127" spans="2:13" ht="15.75" customHeight="1">
      <c r="B127" s="2044" t="s">
        <v>406</v>
      </c>
      <c r="C127" s="2045"/>
      <c r="D127" s="2045"/>
      <c r="E127" s="2045"/>
      <c r="F127" s="2045"/>
      <c r="G127" s="2045"/>
      <c r="H127" s="2045"/>
      <c r="I127" s="2045"/>
      <c r="J127" s="2045"/>
      <c r="K127" s="2045"/>
      <c r="L127" s="2045"/>
      <c r="M127" s="2046"/>
    </row>
    <row r="128" spans="2:13">
      <c r="B128" s="2047"/>
      <c r="C128" s="2048"/>
      <c r="D128" s="2048"/>
      <c r="E128" s="2048"/>
      <c r="F128" s="2048"/>
      <c r="G128" s="2048"/>
      <c r="H128" s="2048"/>
      <c r="I128" s="2048"/>
      <c r="J128" s="2048"/>
      <c r="K128" s="2048"/>
      <c r="L128" s="2048"/>
      <c r="M128" s="2049"/>
    </row>
    <row r="129" spans="2:29">
      <c r="B129" s="2047"/>
      <c r="C129" s="2048"/>
      <c r="D129" s="2048"/>
      <c r="E129" s="2048"/>
      <c r="F129" s="2048"/>
      <c r="G129" s="2048"/>
      <c r="H129" s="2048"/>
      <c r="I129" s="2048"/>
      <c r="J129" s="2048"/>
      <c r="K129" s="2048"/>
      <c r="L129" s="2048"/>
      <c r="M129" s="2049"/>
    </row>
    <row r="130" spans="2:29" hidden="1">
      <c r="B130" s="2047"/>
      <c r="C130" s="2048"/>
      <c r="D130" s="2048"/>
      <c r="E130" s="2048"/>
      <c r="F130" s="2048"/>
      <c r="G130" s="2048"/>
      <c r="H130" s="2048"/>
      <c r="I130" s="2048"/>
      <c r="J130" s="2048"/>
      <c r="K130" s="2048"/>
      <c r="L130" s="2048"/>
      <c r="M130" s="2049"/>
    </row>
    <row r="131" spans="2:29" hidden="1">
      <c r="B131" s="2047"/>
      <c r="C131" s="2048"/>
      <c r="D131" s="2048"/>
      <c r="E131" s="2048"/>
      <c r="F131" s="2048"/>
      <c r="G131" s="2048"/>
      <c r="H131" s="2048"/>
      <c r="I131" s="2048"/>
      <c r="J131" s="2048"/>
      <c r="K131" s="2048"/>
      <c r="L131" s="2048"/>
      <c r="M131" s="2049"/>
    </row>
    <row r="132" spans="2:29" ht="15" hidden="1" thickBot="1">
      <c r="B132" s="2050"/>
      <c r="C132" s="2051"/>
      <c r="D132" s="2051"/>
      <c r="E132" s="2051"/>
      <c r="F132" s="2051"/>
      <c r="G132" s="2051"/>
      <c r="H132" s="2051"/>
      <c r="I132" s="2051"/>
      <c r="J132" s="2051"/>
      <c r="K132" s="2051"/>
      <c r="L132" s="2051"/>
      <c r="M132" s="2052"/>
    </row>
    <row r="133" spans="2:29">
      <c r="B133" s="2044" t="s">
        <v>407</v>
      </c>
      <c r="C133" s="2045"/>
      <c r="D133" s="2045"/>
      <c r="E133" s="2045"/>
      <c r="F133" s="2045"/>
      <c r="G133" s="2045"/>
      <c r="H133" s="2045"/>
      <c r="I133" s="2045"/>
      <c r="J133" s="2045"/>
      <c r="K133" s="2045"/>
      <c r="L133" s="2045"/>
      <c r="M133" s="2046"/>
      <c r="Y133" s="251" t="s">
        <v>408</v>
      </c>
      <c r="AB133" s="251" t="s">
        <v>409</v>
      </c>
    </row>
    <row r="134" spans="2:29">
      <c r="B134" s="2047"/>
      <c r="C134" s="2048"/>
      <c r="D134" s="2048"/>
      <c r="E134" s="2048"/>
      <c r="F134" s="2048"/>
      <c r="G134" s="2048"/>
      <c r="H134" s="2048"/>
      <c r="I134" s="2048"/>
      <c r="J134" s="2048"/>
      <c r="K134" s="2048"/>
      <c r="L134" s="2048"/>
      <c r="M134" s="2049"/>
    </row>
    <row r="135" spans="2:29">
      <c r="B135" s="2047"/>
      <c r="C135" s="2048"/>
      <c r="D135" s="2048"/>
      <c r="E135" s="2048"/>
      <c r="F135" s="2048"/>
      <c r="G135" s="2048"/>
      <c r="H135" s="2048"/>
      <c r="I135" s="2048"/>
      <c r="J135" s="2048"/>
      <c r="K135" s="2048"/>
      <c r="L135" s="2048"/>
      <c r="M135" s="2049"/>
      <c r="U135" s="252" t="s">
        <v>410</v>
      </c>
    </row>
    <row r="136" spans="2:29" hidden="1">
      <c r="B136" s="2047"/>
      <c r="C136" s="2048"/>
      <c r="D136" s="2048"/>
      <c r="E136" s="2048"/>
      <c r="F136" s="2048"/>
      <c r="G136" s="2048"/>
      <c r="H136" s="2048"/>
      <c r="I136" s="2048"/>
      <c r="J136" s="2048"/>
      <c r="K136" s="2048"/>
      <c r="L136" s="2048"/>
      <c r="M136" s="2049"/>
    </row>
    <row r="137" spans="2:29" hidden="1">
      <c r="B137" s="2047"/>
      <c r="C137" s="2048"/>
      <c r="D137" s="2048"/>
      <c r="E137" s="2048"/>
      <c r="F137" s="2048"/>
      <c r="G137" s="2048"/>
      <c r="H137" s="2048"/>
      <c r="I137" s="2048"/>
      <c r="J137" s="2048"/>
      <c r="K137" s="2048"/>
      <c r="L137" s="2048"/>
      <c r="M137" s="2049"/>
    </row>
    <row r="138" spans="2:29" ht="15" hidden="1" thickBot="1">
      <c r="B138" s="2050"/>
      <c r="C138" s="2051"/>
      <c r="D138" s="2051"/>
      <c r="E138" s="2051"/>
      <c r="F138" s="2051"/>
      <c r="G138" s="2051"/>
      <c r="H138" s="2051"/>
      <c r="I138" s="2051"/>
      <c r="J138" s="2051"/>
      <c r="K138" s="2051"/>
      <c r="L138" s="2051"/>
      <c r="M138" s="2052"/>
    </row>
    <row r="139" spans="2:29">
      <c r="B139" s="2044" t="s">
        <v>411</v>
      </c>
      <c r="C139" s="2045"/>
      <c r="D139" s="2045"/>
      <c r="E139" s="2045"/>
      <c r="F139" s="2045"/>
      <c r="G139" s="2045"/>
      <c r="H139" s="2045"/>
      <c r="I139" s="2045"/>
      <c r="J139" s="2045"/>
      <c r="K139" s="2045"/>
      <c r="L139" s="2045"/>
      <c r="M139" s="2046"/>
    </row>
    <row r="140" spans="2:29">
      <c r="B140" s="2047"/>
      <c r="C140" s="2048"/>
      <c r="D140" s="2048"/>
      <c r="E140" s="2048"/>
      <c r="F140" s="2048"/>
      <c r="G140" s="2048"/>
      <c r="H140" s="2048"/>
      <c r="I140" s="2048"/>
      <c r="J140" s="2048"/>
      <c r="K140" s="2048"/>
      <c r="L140" s="2048"/>
      <c r="M140" s="2049"/>
    </row>
    <row r="141" spans="2:29" ht="17.399999999999999">
      <c r="B141" s="2047"/>
      <c r="C141" s="2048"/>
      <c r="D141" s="2048"/>
      <c r="E141" s="2048"/>
      <c r="F141" s="2048"/>
      <c r="G141" s="2048"/>
      <c r="H141" s="2048"/>
      <c r="I141" s="2048"/>
      <c r="J141" s="2048"/>
      <c r="K141" s="2048"/>
      <c r="L141" s="2048"/>
      <c r="M141" s="2049"/>
      <c r="U141" s="243" t="s">
        <v>412</v>
      </c>
      <c r="V141" s="236" t="s">
        <v>413</v>
      </c>
      <c r="W141" s="237"/>
      <c r="X141" s="237"/>
      <c r="Y141" s="237"/>
      <c r="Z141" s="237"/>
      <c r="AA141" s="237"/>
      <c r="AB141" s="237"/>
      <c r="AC141" s="238"/>
    </row>
    <row r="142" spans="2:29" hidden="1">
      <c r="B142" s="2047"/>
      <c r="C142" s="2048"/>
      <c r="D142" s="2048"/>
      <c r="E142" s="2048"/>
      <c r="F142" s="2048"/>
      <c r="G142" s="2048"/>
      <c r="H142" s="2048"/>
      <c r="I142" s="2048"/>
      <c r="J142" s="2048"/>
      <c r="K142" s="2048"/>
      <c r="L142" s="2048"/>
      <c r="M142" s="2049"/>
    </row>
    <row r="143" spans="2:29" hidden="1">
      <c r="B143" s="2047"/>
      <c r="C143" s="2048"/>
      <c r="D143" s="2048"/>
      <c r="E143" s="2048"/>
      <c r="F143" s="2048"/>
      <c r="G143" s="2048"/>
      <c r="H143" s="2048"/>
      <c r="I143" s="2048"/>
      <c r="J143" s="2048"/>
      <c r="K143" s="2048"/>
      <c r="L143" s="2048"/>
      <c r="M143" s="2049"/>
    </row>
    <row r="144" spans="2:29" ht="15" hidden="1" thickBot="1">
      <c r="B144" s="2050"/>
      <c r="C144" s="2051"/>
      <c r="D144" s="2051"/>
      <c r="E144" s="2051"/>
      <c r="F144" s="2051"/>
      <c r="G144" s="2051"/>
      <c r="H144" s="2051"/>
      <c r="I144" s="2051"/>
      <c r="J144" s="2051"/>
      <c r="K144" s="2051"/>
      <c r="L144" s="2051"/>
      <c r="M144" s="2052"/>
    </row>
    <row r="145" spans="2:28">
      <c r="B145" s="2044" t="s">
        <v>414</v>
      </c>
      <c r="C145" s="2045"/>
      <c r="D145" s="2045"/>
      <c r="E145" s="2045"/>
      <c r="F145" s="2045"/>
      <c r="G145" s="2045"/>
      <c r="H145" s="2045"/>
      <c r="I145" s="2045"/>
      <c r="J145" s="2045"/>
      <c r="K145" s="2045"/>
      <c r="L145" s="2045"/>
      <c r="M145" s="2046"/>
    </row>
    <row r="146" spans="2:28">
      <c r="B146" s="2047"/>
      <c r="C146" s="2048"/>
      <c r="D146" s="2048"/>
      <c r="E146" s="2048"/>
      <c r="F146" s="2048"/>
      <c r="G146" s="2048"/>
      <c r="H146" s="2048"/>
      <c r="I146" s="2048"/>
      <c r="J146" s="2048"/>
      <c r="K146" s="2048"/>
      <c r="L146" s="2048"/>
      <c r="M146" s="2049"/>
    </row>
    <row r="147" spans="2:28">
      <c r="B147" s="2047"/>
      <c r="C147" s="2048"/>
      <c r="D147" s="2048"/>
      <c r="E147" s="2048"/>
      <c r="F147" s="2048"/>
      <c r="G147" s="2048"/>
      <c r="H147" s="2048"/>
      <c r="I147" s="2048"/>
      <c r="J147" s="2048"/>
      <c r="K147" s="2048"/>
      <c r="L147" s="2048"/>
      <c r="M147" s="2049"/>
    </row>
    <row r="148" spans="2:28" hidden="1">
      <c r="B148" s="2047"/>
      <c r="C148" s="2048"/>
      <c r="D148" s="2048"/>
      <c r="E148" s="2048"/>
      <c r="F148" s="2048"/>
      <c r="G148" s="2048"/>
      <c r="H148" s="2048"/>
      <c r="I148" s="2048"/>
      <c r="J148" s="2048"/>
      <c r="K148" s="2048"/>
      <c r="L148" s="2048"/>
      <c r="M148" s="2049"/>
    </row>
    <row r="149" spans="2:28" hidden="1">
      <c r="B149" s="2047"/>
      <c r="C149" s="2048"/>
      <c r="D149" s="2048"/>
      <c r="E149" s="2048"/>
      <c r="F149" s="2048"/>
      <c r="G149" s="2048"/>
      <c r="H149" s="2048"/>
      <c r="I149" s="2048"/>
      <c r="J149" s="2048"/>
      <c r="K149" s="2048"/>
      <c r="L149" s="2048"/>
      <c r="M149" s="2049"/>
    </row>
    <row r="150" spans="2:28" ht="15.75" hidden="1" customHeight="1" thickBot="1">
      <c r="B150" s="2050"/>
      <c r="C150" s="2051"/>
      <c r="D150" s="2051"/>
      <c r="E150" s="2051"/>
      <c r="F150" s="2051"/>
      <c r="G150" s="2051"/>
      <c r="H150" s="2051"/>
      <c r="I150" s="2051"/>
      <c r="J150" s="2051"/>
      <c r="K150" s="2051"/>
      <c r="L150" s="2051"/>
      <c r="M150" s="2052"/>
    </row>
    <row r="151" spans="2:28">
      <c r="B151" s="2044" t="s">
        <v>415</v>
      </c>
      <c r="C151" s="2045"/>
      <c r="D151" s="2045"/>
      <c r="E151" s="2045"/>
      <c r="F151" s="2045"/>
      <c r="G151" s="2045"/>
      <c r="H151" s="2045"/>
      <c r="I151" s="2045"/>
      <c r="J151" s="2045"/>
      <c r="K151" s="2045"/>
      <c r="L151" s="2045"/>
      <c r="M151" s="2046"/>
    </row>
    <row r="152" spans="2:28">
      <c r="B152" s="2047"/>
      <c r="C152" s="2048"/>
      <c r="D152" s="2048"/>
      <c r="E152" s="2048"/>
      <c r="F152" s="2048"/>
      <c r="G152" s="2048"/>
      <c r="H152" s="2048"/>
      <c r="I152" s="2048"/>
      <c r="J152" s="2048"/>
      <c r="K152" s="2048"/>
      <c r="L152" s="2048"/>
      <c r="M152" s="2049"/>
      <c r="N152"/>
    </row>
    <row r="153" spans="2:28">
      <c r="B153" s="2047"/>
      <c r="C153" s="2048"/>
      <c r="D153" s="2048"/>
      <c r="E153" s="2048"/>
      <c r="F153" s="2048"/>
      <c r="G153" s="2048"/>
      <c r="H153" s="2048"/>
      <c r="I153" s="2048"/>
      <c r="J153" s="2048"/>
      <c r="K153" s="2048"/>
      <c r="L153" s="2048"/>
      <c r="M153" s="2049"/>
    </row>
    <row r="154" spans="2:28" hidden="1">
      <c r="B154" s="2047"/>
      <c r="C154" s="2048"/>
      <c r="D154" s="2048"/>
      <c r="E154" s="2048"/>
      <c r="F154" s="2048"/>
      <c r="G154" s="2048"/>
      <c r="H154" s="2048"/>
      <c r="I154" s="2048"/>
      <c r="J154" s="2048"/>
      <c r="K154" s="2048"/>
      <c r="L154" s="2048"/>
      <c r="M154" s="2049"/>
    </row>
    <row r="155" spans="2:28" hidden="1">
      <c r="B155" s="2047"/>
      <c r="C155" s="2048"/>
      <c r="D155" s="2048"/>
      <c r="E155" s="2048"/>
      <c r="F155" s="2048"/>
      <c r="G155" s="2048"/>
      <c r="H155" s="2048"/>
      <c r="I155" s="2048"/>
      <c r="J155" s="2048"/>
      <c r="K155" s="2048"/>
      <c r="L155" s="2048"/>
      <c r="M155" s="2049"/>
      <c r="Q155" s="253"/>
      <c r="R155" s="254"/>
      <c r="S155" s="255"/>
      <c r="T155" s="7"/>
      <c r="U155" s="256"/>
      <c r="V155" s="1"/>
      <c r="W155" s="1"/>
      <c r="X155" s="1"/>
      <c r="Y155" s="1"/>
      <c r="Z155" s="1"/>
      <c r="AA155" s="1"/>
      <c r="AB155" s="220"/>
    </row>
    <row r="156" spans="2:28" ht="15" hidden="1" thickBot="1">
      <c r="B156" s="2050"/>
      <c r="C156" s="2051"/>
      <c r="D156" s="2051"/>
      <c r="E156" s="2051"/>
      <c r="F156" s="2051"/>
      <c r="G156" s="2051"/>
      <c r="H156" s="2051"/>
      <c r="I156" s="2051"/>
      <c r="J156" s="2051"/>
      <c r="K156" s="2051"/>
      <c r="L156" s="2051"/>
      <c r="M156" s="2052"/>
      <c r="Q156" s="253"/>
      <c r="R156" s="254"/>
      <c r="S156" s="255"/>
      <c r="T156" s="7"/>
      <c r="U156" s="256"/>
      <c r="V156" s="1"/>
      <c r="W156" s="1"/>
      <c r="X156" s="1"/>
      <c r="Y156" s="1"/>
      <c r="Z156" s="1"/>
      <c r="AA156" s="1"/>
      <c r="AB156" s="220"/>
    </row>
    <row r="157" spans="2:28">
      <c r="B157" s="2044" t="s">
        <v>414</v>
      </c>
      <c r="C157" s="2045"/>
      <c r="D157" s="2045"/>
      <c r="E157" s="2045"/>
      <c r="F157" s="2045"/>
      <c r="G157" s="2045"/>
      <c r="H157" s="2045"/>
      <c r="I157" s="2045"/>
      <c r="J157" s="2045"/>
      <c r="K157" s="2045"/>
      <c r="L157" s="2045"/>
      <c r="M157" s="2046"/>
      <c r="Q157" s="253"/>
      <c r="R157" s="254"/>
      <c r="S157" s="255"/>
      <c r="T157" s="7"/>
      <c r="U157" s="256"/>
      <c r="V157" s="1"/>
      <c r="W157" s="1"/>
      <c r="X157" s="1"/>
      <c r="Y157" s="1"/>
      <c r="Z157" s="1"/>
      <c r="AA157" s="1"/>
      <c r="AB157" s="220"/>
    </row>
    <row r="158" spans="2:28">
      <c r="B158" s="2047"/>
      <c r="C158" s="2048"/>
      <c r="D158" s="2048"/>
      <c r="E158" s="2048"/>
      <c r="F158" s="2048"/>
      <c r="G158" s="2048"/>
      <c r="H158" s="2048"/>
      <c r="I158" s="2048"/>
      <c r="J158" s="2048"/>
      <c r="K158" s="2048"/>
      <c r="L158" s="2048"/>
      <c r="M158" s="2049"/>
      <c r="Q158" s="1"/>
      <c r="R158" s="1"/>
    </row>
    <row r="159" spans="2:28">
      <c r="B159" s="2047"/>
      <c r="C159" s="2048"/>
      <c r="D159" s="2048"/>
      <c r="E159" s="2048"/>
      <c r="F159" s="2048"/>
      <c r="G159" s="2048"/>
      <c r="H159" s="2048"/>
      <c r="I159" s="2048"/>
      <c r="J159" s="2048"/>
      <c r="K159" s="2048"/>
      <c r="L159" s="2048"/>
      <c r="M159" s="2049"/>
      <c r="Q159" s="1"/>
      <c r="R159" s="1"/>
    </row>
    <row r="160" spans="2:28" hidden="1">
      <c r="B160" s="2047"/>
      <c r="C160" s="2048"/>
      <c r="D160" s="2048"/>
      <c r="E160" s="2048"/>
      <c r="F160" s="2048"/>
      <c r="G160" s="2048"/>
      <c r="H160" s="2048"/>
      <c r="I160" s="2048"/>
      <c r="J160" s="2048"/>
      <c r="K160" s="2048"/>
      <c r="L160" s="2048"/>
      <c r="M160" s="2049"/>
      <c r="Q160" s="1"/>
      <c r="R160" s="1"/>
    </row>
    <row r="161" spans="1:28" hidden="1">
      <c r="B161" s="2047"/>
      <c r="C161" s="2048"/>
      <c r="D161" s="2048"/>
      <c r="E161" s="2048"/>
      <c r="F161" s="2048"/>
      <c r="G161" s="2048"/>
      <c r="H161" s="2048"/>
      <c r="I161" s="2048"/>
      <c r="J161" s="2048"/>
      <c r="K161" s="2048"/>
      <c r="L161" s="2048"/>
      <c r="M161" s="2049"/>
      <c r="Q161" s="1"/>
      <c r="R161" s="1"/>
    </row>
    <row r="162" spans="1:28" ht="15" thickBot="1">
      <c r="B162" s="2050"/>
      <c r="C162" s="2051"/>
      <c r="D162" s="2051"/>
      <c r="E162" s="2051"/>
      <c r="F162" s="2051"/>
      <c r="G162" s="2051"/>
      <c r="H162" s="2051"/>
      <c r="I162" s="2051"/>
      <c r="J162" s="2051"/>
      <c r="K162" s="2051"/>
      <c r="L162" s="2051"/>
      <c r="M162" s="2052"/>
      <c r="Q162" s="1"/>
      <c r="R162" s="1"/>
    </row>
    <row r="163" spans="1:28">
      <c r="A163" s="4"/>
      <c r="B163" s="4"/>
      <c r="C163" s="4"/>
      <c r="D163" s="4"/>
      <c r="E163" s="4"/>
      <c r="F163" s="4"/>
      <c r="G163" s="4"/>
      <c r="H163" s="4"/>
      <c r="I163" s="4"/>
      <c r="J163" s="4"/>
      <c r="K163" s="4"/>
      <c r="L163" s="4"/>
      <c r="M163" s="15"/>
      <c r="Q163" s="1"/>
      <c r="R163" s="1"/>
    </row>
    <row r="164" spans="1:28" ht="15" customHeight="1">
      <c r="A164" s="4"/>
      <c r="B164" s="4"/>
      <c r="C164" s="4"/>
      <c r="D164" s="4"/>
      <c r="E164" s="4"/>
      <c r="F164" s="4"/>
      <c r="G164" s="4"/>
      <c r="H164" s="4"/>
      <c r="I164" s="4"/>
      <c r="J164" s="4"/>
      <c r="K164" s="4"/>
      <c r="L164" s="4"/>
      <c r="M164" s="15"/>
    </row>
    <row r="165" spans="1:28">
      <c r="A165" s="4"/>
      <c r="B165" s="4"/>
      <c r="C165" s="4"/>
      <c r="D165" s="4"/>
      <c r="E165" s="4"/>
      <c r="F165" s="4"/>
      <c r="G165" s="4"/>
      <c r="H165" s="4"/>
      <c r="I165" s="4"/>
      <c r="J165" s="4"/>
      <c r="K165" s="4"/>
      <c r="L165" s="4"/>
      <c r="M165" s="15"/>
    </row>
    <row r="166" spans="1:28" ht="15" thickBot="1">
      <c r="A166" s="19"/>
      <c r="B166" s="19"/>
      <c r="C166" s="19"/>
      <c r="D166" s="19"/>
      <c r="E166" s="19"/>
      <c r="F166" s="19"/>
      <c r="G166" s="19"/>
      <c r="H166" s="19"/>
      <c r="I166" s="19"/>
      <c r="J166" s="19"/>
      <c r="K166" s="19"/>
      <c r="L166" s="19"/>
      <c r="M166" s="19"/>
    </row>
    <row r="167" spans="1:28">
      <c r="B167" s="2055" t="s">
        <v>417</v>
      </c>
      <c r="C167" s="2056"/>
      <c r="D167" s="2056"/>
      <c r="E167" s="2056"/>
      <c r="F167" s="2056"/>
      <c r="G167" s="2056"/>
      <c r="H167" s="2056"/>
      <c r="I167" s="2056"/>
      <c r="J167" s="2056"/>
      <c r="K167" s="2056"/>
      <c r="L167" s="2056"/>
      <c r="M167" s="2057"/>
    </row>
    <row r="168" spans="1:28">
      <c r="B168" s="2058" t="s">
        <v>418</v>
      </c>
      <c r="C168" s="2059"/>
      <c r="D168" s="2059"/>
      <c r="E168" s="2059"/>
      <c r="F168" s="2059"/>
      <c r="G168" s="2059"/>
      <c r="H168" s="2059"/>
      <c r="I168" s="2059"/>
      <c r="J168" s="2059"/>
      <c r="K168" s="2059"/>
      <c r="L168" s="2059"/>
      <c r="M168" s="2060"/>
    </row>
    <row r="169" spans="1:28">
      <c r="B169" s="2041" t="s">
        <v>397</v>
      </c>
      <c r="C169" s="2042"/>
      <c r="D169" s="2042"/>
      <c r="E169" s="2042"/>
      <c r="F169" s="2042"/>
      <c r="G169" s="2043"/>
      <c r="H169" s="232">
        <v>325</v>
      </c>
      <c r="I169" s="27"/>
      <c r="J169" s="75"/>
      <c r="K169" s="75"/>
      <c r="L169" s="75"/>
      <c r="M169" s="233"/>
    </row>
    <row r="170" spans="1:28">
      <c r="B170" s="2041" t="s">
        <v>398</v>
      </c>
      <c r="C170" s="2042"/>
      <c r="D170" s="2042"/>
      <c r="E170" s="2042"/>
      <c r="F170" s="2042"/>
      <c r="G170" s="2043"/>
      <c r="H170" s="234">
        <f>COUNTA(G133:S133)</f>
        <v>0</v>
      </c>
      <c r="I170" s="75"/>
      <c r="J170" s="75"/>
      <c r="K170" s="75"/>
      <c r="L170" s="75"/>
      <c r="M170" s="233"/>
    </row>
    <row r="171" spans="1:28">
      <c r="B171" s="2038" t="s">
        <v>46</v>
      </c>
      <c r="C171" s="2039"/>
      <c r="D171" s="2039"/>
      <c r="E171" s="2039"/>
      <c r="F171" s="2039"/>
      <c r="G171" s="2040"/>
      <c r="H171" s="239">
        <v>1</v>
      </c>
      <c r="I171" s="239">
        <v>2</v>
      </c>
      <c r="J171" s="239">
        <v>3</v>
      </c>
      <c r="K171" s="240">
        <v>4</v>
      </c>
      <c r="L171" s="241">
        <v>5</v>
      </c>
      <c r="M171" s="242">
        <v>6</v>
      </c>
    </row>
    <row r="172" spans="1:28">
      <c r="B172" s="2041" t="s">
        <v>402</v>
      </c>
      <c r="C172" s="2042"/>
      <c r="D172" s="2042"/>
      <c r="E172" s="2042"/>
      <c r="F172" s="2042"/>
      <c r="G172" s="2043"/>
      <c r="H172" s="244" t="s">
        <v>99</v>
      </c>
      <c r="I172" s="244"/>
      <c r="J172" s="245"/>
      <c r="K172" s="244"/>
      <c r="L172" s="246"/>
      <c r="M172" s="247"/>
    </row>
    <row r="173" spans="1:28">
      <c r="B173" s="2041" t="s">
        <v>403</v>
      </c>
      <c r="C173" s="2042"/>
      <c r="D173" s="2042"/>
      <c r="E173" s="2042"/>
      <c r="F173" s="2042"/>
      <c r="G173" s="2043"/>
      <c r="H173" s="232">
        <v>176</v>
      </c>
      <c r="I173" s="232"/>
      <c r="J173" s="248"/>
      <c r="K173" s="232"/>
      <c r="L173" s="249"/>
      <c r="M173" s="250"/>
      <c r="Y173" s="251" t="s">
        <v>408</v>
      </c>
      <c r="AB173" s="251" t="s">
        <v>409</v>
      </c>
    </row>
    <row r="174" spans="1:28">
      <c r="B174" s="2044" t="s">
        <v>419</v>
      </c>
      <c r="C174" s="2045"/>
      <c r="D174" s="2045"/>
      <c r="E174" s="2045"/>
      <c r="F174" s="2045"/>
      <c r="G174" s="2045"/>
      <c r="H174" s="2045"/>
      <c r="I174" s="2045"/>
      <c r="J174" s="2045"/>
      <c r="K174" s="2045"/>
      <c r="L174" s="2045"/>
      <c r="M174" s="2046"/>
    </row>
    <row r="175" spans="1:28">
      <c r="B175" s="2047"/>
      <c r="C175" s="2048"/>
      <c r="D175" s="2048"/>
      <c r="E175" s="2048"/>
      <c r="F175" s="2048"/>
      <c r="G175" s="2048"/>
      <c r="H175" s="2048"/>
      <c r="I175" s="2048"/>
      <c r="J175" s="2048"/>
      <c r="K175" s="2048"/>
      <c r="L175" s="2048"/>
      <c r="M175" s="2049"/>
    </row>
    <row r="176" spans="1:28">
      <c r="B176" s="2047"/>
      <c r="C176" s="2048"/>
      <c r="D176" s="2048"/>
      <c r="E176" s="2048"/>
      <c r="F176" s="2048"/>
      <c r="G176" s="2048"/>
      <c r="H176" s="2048"/>
      <c r="I176" s="2048"/>
      <c r="J176" s="2048"/>
      <c r="K176" s="2048"/>
      <c r="L176" s="2048"/>
      <c r="M176" s="2049"/>
    </row>
    <row r="177" spans="2:29">
      <c r="B177" s="2047"/>
      <c r="C177" s="2048"/>
      <c r="D177" s="2048"/>
      <c r="E177" s="2048"/>
      <c r="F177" s="2048"/>
      <c r="G177" s="2048"/>
      <c r="H177" s="2048"/>
      <c r="I177" s="2048"/>
      <c r="J177" s="2048"/>
      <c r="K177" s="2048"/>
      <c r="L177" s="2048"/>
      <c r="M177" s="2049"/>
    </row>
    <row r="178" spans="2:29" ht="17.399999999999999">
      <c r="B178" s="2047"/>
      <c r="C178" s="2048"/>
      <c r="D178" s="2048"/>
      <c r="E178" s="2048"/>
      <c r="F178" s="2048"/>
      <c r="G178" s="2048"/>
      <c r="H178" s="2048"/>
      <c r="I178" s="2048"/>
      <c r="J178" s="2048"/>
      <c r="K178" s="2048"/>
      <c r="L178" s="2048"/>
      <c r="M178" s="2049"/>
      <c r="U178" s="243" t="s">
        <v>420</v>
      </c>
      <c r="V178" s="2053" t="s">
        <v>421</v>
      </c>
      <c r="W178" s="2054"/>
      <c r="X178" s="2054"/>
      <c r="Y178" s="2054"/>
      <c r="Z178" s="2054"/>
      <c r="AA178" s="2054"/>
      <c r="AB178" s="2054"/>
      <c r="AC178" s="2054"/>
    </row>
    <row r="179" spans="2:29" ht="15" thickBot="1">
      <c r="B179" s="2050"/>
      <c r="C179" s="2051"/>
      <c r="D179" s="2051"/>
      <c r="E179" s="2051"/>
      <c r="F179" s="2051"/>
      <c r="G179" s="2051"/>
      <c r="H179" s="2051"/>
      <c r="I179" s="2051"/>
      <c r="J179" s="2051"/>
      <c r="K179" s="2051"/>
      <c r="L179" s="2051"/>
      <c r="M179" s="2052"/>
      <c r="U179" s="257" t="s">
        <v>422</v>
      </c>
    </row>
    <row r="180" spans="2:29" ht="15" thickBot="1">
      <c r="B180" s="258"/>
      <c r="C180" s="259"/>
      <c r="D180" s="259"/>
      <c r="E180" s="259"/>
      <c r="F180" s="259"/>
      <c r="G180" s="259"/>
      <c r="H180" s="259"/>
      <c r="I180" s="259"/>
      <c r="J180" s="259"/>
      <c r="K180" s="259"/>
      <c r="L180" s="259"/>
      <c r="M180" s="259"/>
      <c r="U180" s="260"/>
    </row>
    <row r="181" spans="2:29" ht="15" thickBot="1">
      <c r="B181" s="2029" t="s">
        <v>423</v>
      </c>
      <c r="C181" s="2030"/>
      <c r="D181" s="2030"/>
      <c r="E181" s="2030"/>
      <c r="F181" s="2030"/>
      <c r="G181" s="2030"/>
      <c r="H181" s="2030"/>
      <c r="I181" s="2030"/>
      <c r="J181" s="2030"/>
      <c r="K181" s="2030"/>
      <c r="L181" s="2030"/>
      <c r="M181" s="2031"/>
      <c r="Q181" s="261"/>
    </row>
    <row r="182" spans="2:29">
      <c r="B182" s="262" t="s">
        <v>424</v>
      </c>
      <c r="C182" s="263" t="s">
        <v>425</v>
      </c>
      <c r="D182" s="263" t="s">
        <v>426</v>
      </c>
      <c r="E182" s="2032" t="s">
        <v>427</v>
      </c>
      <c r="F182" s="2033"/>
      <c r="G182" s="2033"/>
      <c r="H182" s="2034"/>
      <c r="I182" s="2035" t="s">
        <v>428</v>
      </c>
      <c r="J182" s="2036"/>
      <c r="K182" s="2036"/>
      <c r="L182" s="2036"/>
      <c r="M182" s="2037" t="s">
        <v>429</v>
      </c>
      <c r="N182" s="264" t="s">
        <v>430</v>
      </c>
      <c r="O182" s="264" t="s">
        <v>431</v>
      </c>
      <c r="Q182" s="261"/>
    </row>
    <row r="183" spans="2:29" ht="63" customHeight="1">
      <c r="B183" s="262"/>
      <c r="C183" s="263" t="s">
        <v>346</v>
      </c>
      <c r="D183" s="263" t="s">
        <v>108</v>
      </c>
      <c r="E183" s="263" t="s">
        <v>432</v>
      </c>
      <c r="F183" s="263" t="s">
        <v>433</v>
      </c>
      <c r="G183" s="263" t="s">
        <v>434</v>
      </c>
      <c r="H183" s="945" t="s">
        <v>811</v>
      </c>
      <c r="I183" s="263" t="s">
        <v>432</v>
      </c>
      <c r="J183" s="263" t="s">
        <v>433</v>
      </c>
      <c r="K183" s="263" t="s">
        <v>434</v>
      </c>
      <c r="L183" s="946" t="s">
        <v>811</v>
      </c>
      <c r="M183" s="2037"/>
      <c r="N183" s="264" t="s">
        <v>435</v>
      </c>
      <c r="O183" s="264"/>
      <c r="Q183" s="261"/>
    </row>
    <row r="184" spans="2:29" ht="15" customHeight="1">
      <c r="B184" s="265"/>
      <c r="C184" s="266" t="s">
        <v>436</v>
      </c>
      <c r="D184" s="267"/>
      <c r="E184" s="267"/>
      <c r="F184" s="267"/>
      <c r="G184" s="267"/>
      <c r="H184" s="267"/>
      <c r="I184" s="267"/>
      <c r="J184" s="267"/>
      <c r="K184" s="267"/>
      <c r="L184" s="268"/>
      <c r="M184" s="269"/>
      <c r="N184" s="270" t="s">
        <v>12</v>
      </c>
      <c r="O184" s="271"/>
      <c r="Q184" s="261"/>
    </row>
    <row r="185" spans="2:29" ht="15" customHeight="1">
      <c r="B185" s="272"/>
      <c r="C185" s="266" t="s">
        <v>436</v>
      </c>
      <c r="D185" s="267"/>
      <c r="E185" s="267"/>
      <c r="F185" s="267"/>
      <c r="G185" s="267"/>
      <c r="H185" s="267"/>
      <c r="I185" s="267"/>
      <c r="J185" s="267"/>
      <c r="K185" s="267"/>
      <c r="L185" s="268"/>
      <c r="M185" s="267"/>
      <c r="N185" s="270" t="s">
        <v>12</v>
      </c>
      <c r="O185" s="271"/>
      <c r="Q185" s="261"/>
    </row>
    <row r="186" spans="2:29" ht="15" customHeight="1">
      <c r="B186" s="272"/>
      <c r="C186" s="266" t="s">
        <v>437</v>
      </c>
      <c r="D186" s="267"/>
      <c r="E186" s="273" t="s">
        <v>434</v>
      </c>
      <c r="F186" s="273"/>
      <c r="G186" s="273" t="s">
        <v>433</v>
      </c>
      <c r="H186" s="273"/>
      <c r="I186" s="273" t="s">
        <v>434</v>
      </c>
      <c r="J186" s="273"/>
      <c r="K186" s="273" t="s">
        <v>433</v>
      </c>
      <c r="L186" s="274"/>
      <c r="M186" s="267"/>
      <c r="N186" s="270" t="s">
        <v>12</v>
      </c>
      <c r="O186" s="271"/>
      <c r="Q186" s="261"/>
    </row>
    <row r="187" spans="2:29">
      <c r="B187" s="272"/>
      <c r="C187" s="266" t="s">
        <v>437</v>
      </c>
      <c r="D187" s="267"/>
      <c r="E187" s="267"/>
      <c r="F187" s="267"/>
      <c r="G187" s="267"/>
      <c r="H187" s="267"/>
      <c r="I187" s="267"/>
      <c r="J187" s="267"/>
      <c r="K187" s="267"/>
      <c r="L187" s="268"/>
      <c r="M187" s="267"/>
      <c r="N187" s="270" t="s">
        <v>12</v>
      </c>
      <c r="O187" s="275"/>
      <c r="Q187" s="261" t="s">
        <v>438</v>
      </c>
    </row>
    <row r="188" spans="2:29">
      <c r="B188" s="272"/>
      <c r="C188" s="266" t="s">
        <v>437</v>
      </c>
      <c r="D188" s="267"/>
      <c r="E188" s="267"/>
      <c r="F188" s="267"/>
      <c r="G188" s="267"/>
      <c r="H188" s="267"/>
      <c r="I188" s="267"/>
      <c r="J188" s="267"/>
      <c r="K188" s="267"/>
      <c r="L188" s="268"/>
      <c r="M188" s="267"/>
      <c r="N188" s="270" t="s">
        <v>12</v>
      </c>
      <c r="O188" s="275"/>
      <c r="Q188" s="261"/>
    </row>
    <row r="189" spans="2:29" ht="15" customHeight="1">
      <c r="B189" s="272"/>
      <c r="C189" s="266" t="s">
        <v>437</v>
      </c>
      <c r="D189" s="267"/>
      <c r="E189" s="267"/>
      <c r="F189" s="267"/>
      <c r="G189" s="267"/>
      <c r="H189" s="267"/>
      <c r="I189" s="267"/>
      <c r="J189" s="267"/>
      <c r="K189" s="267"/>
      <c r="L189" s="268"/>
      <c r="M189" s="267"/>
      <c r="N189" s="270" t="s">
        <v>12</v>
      </c>
      <c r="O189" s="275"/>
      <c r="Q189" s="261" t="s">
        <v>439</v>
      </c>
    </row>
    <row r="190" spans="2:29" ht="15" customHeight="1">
      <c r="B190" s="272"/>
      <c r="C190" s="266" t="s">
        <v>436</v>
      </c>
      <c r="D190" s="267"/>
      <c r="E190" s="273" t="s">
        <v>434</v>
      </c>
      <c r="F190" s="273"/>
      <c r="G190" s="273" t="s">
        <v>433</v>
      </c>
      <c r="H190" s="273"/>
      <c r="I190" s="273" t="s">
        <v>434</v>
      </c>
      <c r="J190" s="273"/>
      <c r="K190" s="273" t="s">
        <v>433</v>
      </c>
      <c r="L190" s="274"/>
      <c r="M190" s="267"/>
      <c r="N190" s="270" t="s">
        <v>12</v>
      </c>
      <c r="O190" s="271"/>
      <c r="Q190" s="261"/>
    </row>
    <row r="191" spans="2:29" ht="15.75" customHeight="1">
      <c r="B191" s="272"/>
      <c r="C191" s="266" t="s">
        <v>436</v>
      </c>
      <c r="D191" s="267"/>
      <c r="E191" s="267"/>
      <c r="F191" s="267"/>
      <c r="G191" s="267"/>
      <c r="H191" s="267"/>
      <c r="I191" s="267"/>
      <c r="J191" s="267"/>
      <c r="K191" s="267"/>
      <c r="L191" s="268"/>
      <c r="M191" s="267"/>
      <c r="N191" s="270" t="s">
        <v>12</v>
      </c>
      <c r="O191" s="271"/>
      <c r="Q191" s="261"/>
    </row>
    <row r="192" spans="2:29" ht="15.75" customHeight="1">
      <c r="B192" s="272"/>
      <c r="C192" s="266" t="s">
        <v>436</v>
      </c>
      <c r="D192" s="267"/>
      <c r="E192" s="267"/>
      <c r="F192" s="267"/>
      <c r="G192" s="267"/>
      <c r="H192" s="267"/>
      <c r="I192" s="267"/>
      <c r="J192" s="267"/>
      <c r="K192" s="267"/>
      <c r="L192" s="268"/>
      <c r="M192" s="267"/>
      <c r="N192" s="270" t="s">
        <v>12</v>
      </c>
      <c r="O192" s="275"/>
      <c r="Q192" s="261" t="s">
        <v>440</v>
      </c>
    </row>
    <row r="193" spans="2:29" ht="15" customHeight="1">
      <c r="B193" s="272"/>
      <c r="C193" s="266" t="s">
        <v>436</v>
      </c>
      <c r="D193" s="267"/>
      <c r="E193" s="267"/>
      <c r="F193" s="267"/>
      <c r="G193" s="267"/>
      <c r="H193" s="267"/>
      <c r="I193" s="267"/>
      <c r="J193" s="267"/>
      <c r="K193" s="267"/>
      <c r="L193" s="268"/>
      <c r="M193" s="267"/>
      <c r="N193" s="270" t="s">
        <v>12</v>
      </c>
      <c r="O193" s="271"/>
      <c r="Q193" s="261"/>
    </row>
    <row r="194" spans="2:29" ht="15" customHeight="1">
      <c r="B194" s="272"/>
      <c r="C194" s="266" t="s">
        <v>436</v>
      </c>
      <c r="D194" s="267"/>
      <c r="E194" s="273" t="s">
        <v>434</v>
      </c>
      <c r="F194" s="273"/>
      <c r="G194" s="273" t="s">
        <v>433</v>
      </c>
      <c r="H194" s="273"/>
      <c r="I194" s="273" t="s">
        <v>434</v>
      </c>
      <c r="J194" s="273"/>
      <c r="K194" s="273" t="s">
        <v>433</v>
      </c>
      <c r="L194" s="274"/>
      <c r="M194" s="267"/>
      <c r="N194" s="270" t="s">
        <v>12</v>
      </c>
      <c r="O194" s="271"/>
      <c r="Q194" s="261"/>
    </row>
    <row r="195" spans="2:29" ht="15" customHeight="1">
      <c r="B195" s="272"/>
      <c r="C195" s="266" t="s">
        <v>436</v>
      </c>
      <c r="D195" s="267"/>
      <c r="E195" s="267"/>
      <c r="F195" s="267"/>
      <c r="G195" s="267"/>
      <c r="H195" s="267"/>
      <c r="I195" s="267"/>
      <c r="J195" s="267"/>
      <c r="K195" s="267"/>
      <c r="L195" s="268"/>
      <c r="M195" s="267"/>
      <c r="N195" s="270" t="s">
        <v>12</v>
      </c>
      <c r="O195" s="271"/>
      <c r="Q195" s="261"/>
    </row>
    <row r="196" spans="2:29">
      <c r="B196" s="272"/>
      <c r="C196" s="266" t="s">
        <v>436</v>
      </c>
      <c r="D196" s="267"/>
      <c r="E196" s="267"/>
      <c r="F196" s="267"/>
      <c r="G196" s="267"/>
      <c r="H196" s="267"/>
      <c r="I196" s="267"/>
      <c r="J196" s="267"/>
      <c r="K196" s="267"/>
      <c r="L196" s="268"/>
      <c r="M196" s="267"/>
      <c r="N196" s="270" t="s">
        <v>12</v>
      </c>
      <c r="O196" s="271"/>
      <c r="Q196" s="261"/>
    </row>
    <row r="197" spans="2:29">
      <c r="B197" s="272"/>
      <c r="C197" s="266" t="s">
        <v>436</v>
      </c>
      <c r="D197" s="266"/>
      <c r="E197" s="266"/>
      <c r="F197" s="266"/>
      <c r="G197" s="266"/>
      <c r="H197" s="266"/>
      <c r="I197" s="266"/>
      <c r="J197" s="266"/>
      <c r="K197" s="266"/>
      <c r="L197" s="276"/>
      <c r="M197" s="267"/>
      <c r="N197" s="270" t="s">
        <v>12</v>
      </c>
      <c r="O197" s="271"/>
      <c r="Q197" s="261"/>
    </row>
    <row r="198" spans="2:29" s="1" customFormat="1">
      <c r="B198" s="277"/>
      <c r="C198" s="277"/>
      <c r="D198" s="277"/>
      <c r="E198" s="277"/>
      <c r="F198" s="277"/>
      <c r="G198" s="277"/>
      <c r="H198" s="277"/>
      <c r="I198" s="277"/>
      <c r="J198" s="277"/>
      <c r="K198" s="277"/>
      <c r="L198" s="277"/>
      <c r="N198" s="18"/>
      <c r="O198" s="10"/>
      <c r="P198" s="10"/>
      <c r="Q198" s="10"/>
      <c r="R198" s="10"/>
      <c r="U198" s="219"/>
    </row>
    <row r="199" spans="2:29" s="1" customFormat="1" ht="15" thickBot="1">
      <c r="B199" s="277"/>
      <c r="C199" s="277"/>
      <c r="D199" s="277"/>
      <c r="E199" s="277"/>
      <c r="F199" s="277"/>
      <c r="G199" s="277"/>
      <c r="H199" s="277"/>
      <c r="I199" s="277"/>
      <c r="J199" s="277"/>
      <c r="K199" s="277"/>
      <c r="L199" s="277"/>
      <c r="N199" s="18"/>
      <c r="O199" s="10"/>
      <c r="P199" s="10"/>
      <c r="Q199" s="10"/>
      <c r="R199" s="10"/>
      <c r="U199" s="219"/>
    </row>
    <row r="200" spans="2:29">
      <c r="B200" s="1980" t="s">
        <v>441</v>
      </c>
      <c r="C200" s="1981"/>
      <c r="D200" s="1981"/>
      <c r="E200" s="1981"/>
      <c r="F200" s="1981"/>
      <c r="G200" s="1981"/>
      <c r="H200" s="1981"/>
      <c r="I200" s="1981"/>
      <c r="J200" s="1981"/>
      <c r="K200" s="1981"/>
      <c r="L200" s="1981"/>
      <c r="M200" s="1982"/>
      <c r="N200" s="278"/>
      <c r="O200" s="35"/>
      <c r="Q200" s="261"/>
    </row>
    <row r="201" spans="2:29">
      <c r="B201" s="279"/>
      <c r="C201" s="279"/>
      <c r="D201" s="279"/>
      <c r="E201" s="279"/>
      <c r="F201" s="279"/>
      <c r="G201" s="279"/>
      <c r="H201" s="279"/>
      <c r="I201" s="279"/>
      <c r="J201" s="279"/>
      <c r="K201" s="279"/>
      <c r="L201" s="279"/>
      <c r="N201" s="278"/>
      <c r="O201" s="35"/>
      <c r="Q201" s="261"/>
    </row>
    <row r="202" spans="2:29">
      <c r="C202" s="279"/>
      <c r="G202" s="280" t="s">
        <v>442</v>
      </c>
      <c r="H202" s="280" t="s">
        <v>434</v>
      </c>
      <c r="I202" s="280" t="s">
        <v>433</v>
      </c>
      <c r="L202" s="279"/>
      <c r="N202" s="278"/>
      <c r="O202" s="35"/>
      <c r="Q202" s="261"/>
    </row>
    <row r="203" spans="2:29" ht="15.75" customHeight="1">
      <c r="B203" s="2021" t="s">
        <v>443</v>
      </c>
      <c r="C203" s="2021"/>
      <c r="D203" s="2021"/>
      <c r="E203" s="2021"/>
      <c r="F203" s="2022"/>
      <c r="G203" s="267"/>
      <c r="H203" s="267"/>
      <c r="I203" s="267"/>
      <c r="J203" s="279"/>
      <c r="K203" s="279"/>
      <c r="L203" s="279"/>
      <c r="N203" s="278"/>
      <c r="O203" s="35"/>
      <c r="Q203" s="261"/>
      <c r="Y203" s="251" t="s">
        <v>408</v>
      </c>
      <c r="AB203" s="251" t="s">
        <v>409</v>
      </c>
    </row>
    <row r="204" spans="2:29">
      <c r="B204" s="2019" t="s">
        <v>444</v>
      </c>
      <c r="C204" s="2019"/>
      <c r="D204" s="2019"/>
      <c r="E204" s="2019"/>
      <c r="F204" s="2020"/>
      <c r="G204" s="281" t="s">
        <v>445</v>
      </c>
      <c r="H204" s="281"/>
      <c r="I204" s="281"/>
      <c r="K204" s="35" t="s">
        <v>446</v>
      </c>
      <c r="L204" s="279"/>
      <c r="N204" s="278"/>
      <c r="O204" s="35"/>
      <c r="Q204" s="261"/>
    </row>
    <row r="205" spans="2:29" ht="17.399999999999999">
      <c r="B205" s="2019" t="s">
        <v>447</v>
      </c>
      <c r="C205" s="2019"/>
      <c r="D205" s="2019"/>
      <c r="E205" s="2019"/>
      <c r="F205" s="2020"/>
      <c r="G205" s="225"/>
      <c r="H205" s="225"/>
      <c r="I205" s="225"/>
      <c r="L205" s="279"/>
      <c r="N205" s="278"/>
      <c r="O205" s="35"/>
      <c r="Q205" s="261"/>
      <c r="U205" s="235">
        <v>2</v>
      </c>
      <c r="V205" s="236" t="s">
        <v>448</v>
      </c>
      <c r="W205" s="237"/>
      <c r="X205" s="237"/>
      <c r="Y205" s="237"/>
      <c r="Z205" s="237"/>
      <c r="AA205" s="237"/>
      <c r="AB205" s="237"/>
      <c r="AC205" s="238"/>
    </row>
    <row r="206" spans="2:29" ht="17.399999999999999">
      <c r="B206" s="2019" t="s">
        <v>449</v>
      </c>
      <c r="C206" s="2019"/>
      <c r="D206" s="2019"/>
      <c r="E206" s="2019"/>
      <c r="F206" s="2020"/>
      <c r="G206" s="225"/>
      <c r="H206" s="225"/>
      <c r="I206" s="225"/>
      <c r="L206" s="279"/>
      <c r="N206" s="278"/>
      <c r="O206" s="35"/>
      <c r="Q206" s="261"/>
      <c r="U206" s="243" t="s">
        <v>450</v>
      </c>
      <c r="V206" s="236" t="s">
        <v>401</v>
      </c>
      <c r="W206" s="237"/>
      <c r="X206" s="237"/>
      <c r="Y206" s="237"/>
      <c r="Z206" s="237"/>
      <c r="AA206" s="237"/>
      <c r="AB206" s="237"/>
      <c r="AC206" s="238"/>
    </row>
    <row r="207" spans="2:29">
      <c r="B207" s="2025" t="s">
        <v>451</v>
      </c>
      <c r="C207" s="2025"/>
      <c r="D207" s="2025"/>
      <c r="E207" s="2025"/>
      <c r="F207" s="2026"/>
      <c r="G207" s="225"/>
      <c r="H207" s="225"/>
      <c r="I207" s="225"/>
      <c r="L207" s="279"/>
      <c r="N207" s="278"/>
      <c r="O207" s="35"/>
      <c r="Q207" s="261"/>
    </row>
    <row r="208" spans="2:29">
      <c r="B208" s="2025" t="s">
        <v>452</v>
      </c>
      <c r="C208" s="2025"/>
      <c r="D208" s="2025"/>
      <c r="E208" s="2025"/>
      <c r="F208" s="2026"/>
      <c r="G208" s="225"/>
      <c r="H208" s="225"/>
      <c r="I208" s="225"/>
      <c r="L208" s="279"/>
      <c r="N208" s="278"/>
      <c r="O208" s="35"/>
      <c r="Q208" s="261"/>
    </row>
    <row r="209" spans="2:28" ht="15" customHeight="1">
      <c r="B209" s="2027" t="s">
        <v>453</v>
      </c>
      <c r="C209" s="2027"/>
      <c r="D209" s="2027"/>
      <c r="E209" s="2027"/>
      <c r="F209" s="2028"/>
      <c r="G209" s="225"/>
      <c r="H209" s="225"/>
      <c r="I209" s="225"/>
      <c r="L209" s="282"/>
      <c r="M209" s="282"/>
      <c r="N209" s="35"/>
      <c r="O209" s="35"/>
      <c r="Q209" s="261"/>
    </row>
    <row r="210" spans="2:28">
      <c r="B210" s="2019" t="s">
        <v>454</v>
      </c>
      <c r="C210" s="2019"/>
      <c r="D210" s="2019"/>
      <c r="E210" s="2019"/>
      <c r="F210" s="2020"/>
      <c r="G210" s="225"/>
      <c r="H210" s="225"/>
      <c r="I210" s="225"/>
      <c r="L210" s="279"/>
      <c r="N210" s="278"/>
      <c r="O210" s="35"/>
      <c r="Q210" s="261"/>
    </row>
    <row r="211" spans="2:28">
      <c r="B211" s="2019" t="s">
        <v>455</v>
      </c>
      <c r="C211" s="2019"/>
      <c r="D211" s="2019"/>
      <c r="E211" s="2019"/>
      <c r="F211" s="2020"/>
      <c r="G211" s="225"/>
      <c r="H211" s="225"/>
      <c r="I211" s="225"/>
      <c r="L211" s="279"/>
      <c r="N211" s="278"/>
      <c r="O211" s="35"/>
      <c r="Q211" s="261"/>
    </row>
    <row r="212" spans="2:28">
      <c r="B212" s="2025" t="s">
        <v>456</v>
      </c>
      <c r="C212" s="2025"/>
      <c r="D212" s="2025"/>
      <c r="E212" s="2025"/>
      <c r="F212" s="2026"/>
      <c r="G212" s="225"/>
      <c r="H212" s="225"/>
      <c r="I212" s="225"/>
      <c r="L212" s="279"/>
      <c r="N212" s="278"/>
      <c r="O212" s="35"/>
      <c r="Q212" s="261"/>
    </row>
    <row r="213" spans="2:28">
      <c r="B213" s="2025" t="s">
        <v>457</v>
      </c>
      <c r="C213" s="2025"/>
      <c r="D213" s="2025"/>
      <c r="E213" s="2025"/>
      <c r="F213" s="2026"/>
      <c r="G213" s="225"/>
      <c r="H213" s="225"/>
      <c r="I213" s="225"/>
      <c r="L213" s="279"/>
      <c r="N213" s="278"/>
      <c r="O213" s="35"/>
      <c r="Q213" s="261"/>
    </row>
    <row r="214" spans="2:28" ht="15.75" customHeight="1">
      <c r="B214" s="2021" t="s">
        <v>458</v>
      </c>
      <c r="C214" s="2021"/>
      <c r="D214" s="2021"/>
      <c r="E214" s="2021"/>
      <c r="F214" s="2022"/>
      <c r="G214" s="267"/>
      <c r="H214" s="267"/>
      <c r="I214" s="267"/>
      <c r="J214" s="279"/>
      <c r="K214" s="279"/>
      <c r="L214" s="279"/>
      <c r="N214" s="278"/>
      <c r="O214" s="35"/>
      <c r="Q214" s="261"/>
    </row>
    <row r="215" spans="2:28">
      <c r="B215" s="2019" t="s">
        <v>459</v>
      </c>
      <c r="C215" s="2019"/>
      <c r="D215" s="2019"/>
      <c r="E215" s="2019"/>
      <c r="F215" s="2020"/>
      <c r="G215" s="267"/>
      <c r="H215" s="267"/>
      <c r="I215" s="267"/>
      <c r="J215" s="279"/>
      <c r="K215" s="279"/>
      <c r="L215" s="279"/>
      <c r="N215" s="278"/>
      <c r="O215" s="35"/>
      <c r="Q215" s="261"/>
    </row>
    <row r="216" spans="2:28">
      <c r="B216" s="2019" t="s">
        <v>447</v>
      </c>
      <c r="C216" s="2019"/>
      <c r="D216" s="2019"/>
      <c r="E216" s="2019"/>
      <c r="F216" s="2020"/>
      <c r="G216" s="267"/>
      <c r="H216" s="267"/>
      <c r="I216" s="267"/>
      <c r="J216" s="279"/>
      <c r="K216" s="279"/>
      <c r="L216" s="279"/>
      <c r="N216" s="278"/>
      <c r="O216" s="35"/>
      <c r="Q216" s="261"/>
    </row>
    <row r="217" spans="2:28">
      <c r="B217" s="2019" t="s">
        <v>449</v>
      </c>
      <c r="C217" s="2019"/>
      <c r="D217" s="2019"/>
      <c r="E217" s="2019"/>
      <c r="F217" s="2020"/>
      <c r="G217" s="267"/>
      <c r="H217" s="267"/>
      <c r="I217" s="267"/>
      <c r="J217" s="279"/>
      <c r="K217" s="279"/>
      <c r="L217" s="279"/>
      <c r="N217" s="278"/>
      <c r="O217" s="35"/>
      <c r="Q217" s="261"/>
    </row>
    <row r="218" spans="2:28">
      <c r="B218" s="2019" t="s">
        <v>451</v>
      </c>
      <c r="C218" s="2019"/>
      <c r="D218" s="2019"/>
      <c r="E218" s="2019"/>
      <c r="F218" s="2020"/>
      <c r="G218" s="267"/>
      <c r="H218" s="267"/>
      <c r="I218" s="267"/>
      <c r="J218" s="279"/>
      <c r="K218" s="279"/>
      <c r="L218" s="279"/>
      <c r="N218" s="278"/>
      <c r="O218" s="35"/>
      <c r="Q218" s="261"/>
    </row>
    <row r="219" spans="2:28">
      <c r="B219" s="2019" t="s">
        <v>452</v>
      </c>
      <c r="C219" s="2019"/>
      <c r="D219" s="2019"/>
      <c r="E219" s="2019"/>
      <c r="F219" s="2020"/>
      <c r="G219" s="267"/>
      <c r="H219" s="267"/>
      <c r="I219" s="267"/>
      <c r="J219" s="279"/>
      <c r="K219" s="279"/>
      <c r="L219" s="279"/>
      <c r="N219" s="278"/>
      <c r="O219" s="35"/>
      <c r="Q219" s="261"/>
    </row>
    <row r="220" spans="2:28" ht="15" customHeight="1">
      <c r="B220" s="2023" t="s">
        <v>453</v>
      </c>
      <c r="C220" s="2023"/>
      <c r="D220" s="2023"/>
      <c r="E220" s="2023"/>
      <c r="F220" s="2024"/>
      <c r="G220" s="248"/>
      <c r="H220" s="248"/>
      <c r="I220" s="248"/>
      <c r="J220" s="282"/>
      <c r="K220" s="282"/>
      <c r="L220" s="282"/>
      <c r="M220" s="282"/>
      <c r="N220" s="35"/>
      <c r="O220" s="35"/>
      <c r="Q220" s="261"/>
    </row>
    <row r="221" spans="2:28">
      <c r="B221" s="2019" t="s">
        <v>454</v>
      </c>
      <c r="C221" s="2019"/>
      <c r="D221" s="2019"/>
      <c r="E221" s="2019"/>
      <c r="F221" s="2020"/>
      <c r="G221" s="267"/>
      <c r="H221" s="267"/>
      <c r="I221" s="267"/>
      <c r="J221" s="279"/>
      <c r="K221" s="279"/>
      <c r="L221" s="279"/>
      <c r="N221" s="278"/>
      <c r="O221" s="35"/>
      <c r="Q221" s="261"/>
    </row>
    <row r="222" spans="2:28">
      <c r="B222" s="2019" t="s">
        <v>455</v>
      </c>
      <c r="C222" s="2019"/>
      <c r="D222" s="2019"/>
      <c r="E222" s="2019"/>
      <c r="F222" s="2020"/>
      <c r="G222" s="267"/>
      <c r="H222" s="267"/>
      <c r="I222" s="267"/>
      <c r="J222" s="279"/>
      <c r="K222" s="279"/>
      <c r="L222" s="279"/>
      <c r="N222" s="278"/>
      <c r="O222" s="35"/>
      <c r="Q222" s="261"/>
    </row>
    <row r="223" spans="2:28">
      <c r="B223" s="2019" t="s">
        <v>456</v>
      </c>
      <c r="C223" s="2019"/>
      <c r="D223" s="2019"/>
      <c r="E223" s="2019"/>
      <c r="F223" s="2020"/>
      <c r="G223" s="267"/>
      <c r="H223" s="267"/>
      <c r="I223" s="267"/>
      <c r="J223" s="279"/>
      <c r="K223" s="279"/>
      <c r="L223" s="279"/>
      <c r="N223" s="278"/>
      <c r="O223" s="35"/>
      <c r="Q223" s="261"/>
    </row>
    <row r="224" spans="2:28">
      <c r="B224" s="2019" t="s">
        <v>457</v>
      </c>
      <c r="C224" s="2019"/>
      <c r="D224" s="2019"/>
      <c r="E224" s="2019"/>
      <c r="F224" s="2020"/>
      <c r="G224" s="267"/>
      <c r="H224" s="267"/>
      <c r="I224" s="267"/>
      <c r="J224" s="279"/>
      <c r="K224" s="279"/>
      <c r="L224" s="279"/>
      <c r="N224" s="278"/>
      <c r="O224" s="35"/>
      <c r="Q224" s="261"/>
      <c r="Y224" s="251" t="s">
        <v>408</v>
      </c>
      <c r="AB224" s="251" t="s">
        <v>409</v>
      </c>
    </row>
    <row r="225" spans="1:29">
      <c r="B225" s="2021" t="s">
        <v>460</v>
      </c>
      <c r="C225" s="2021"/>
      <c r="D225" s="2021"/>
      <c r="E225" s="2021"/>
      <c r="F225" s="2022"/>
      <c r="G225" s="267"/>
      <c r="H225" s="267"/>
      <c r="I225" s="267"/>
      <c r="J225" s="279"/>
      <c r="K225" s="279"/>
      <c r="L225" s="279"/>
      <c r="N225" s="278"/>
      <c r="O225" s="35"/>
      <c r="Q225" s="261"/>
    </row>
    <row r="226" spans="1:29">
      <c r="B226" s="2011" t="s">
        <v>444</v>
      </c>
      <c r="C226" s="2011"/>
      <c r="D226" s="2011"/>
      <c r="E226" s="2011"/>
      <c r="F226" s="2012"/>
      <c r="G226" s="267"/>
      <c r="H226" s="267"/>
      <c r="I226" s="267"/>
      <c r="J226" s="279"/>
      <c r="K226" s="279"/>
      <c r="L226" s="279"/>
      <c r="N226" s="278"/>
      <c r="O226" s="35"/>
      <c r="Q226" s="261"/>
      <c r="U226" s="252" t="s">
        <v>410</v>
      </c>
    </row>
    <row r="227" spans="1:29">
      <c r="B227" s="2011" t="s">
        <v>461</v>
      </c>
      <c r="C227" s="2011"/>
      <c r="D227" s="2011"/>
      <c r="E227" s="2011"/>
      <c r="F227" s="2012"/>
      <c r="G227" s="267"/>
      <c r="H227" s="267"/>
      <c r="I227" s="267"/>
      <c r="J227" s="279"/>
      <c r="K227" s="279"/>
      <c r="L227" s="279"/>
      <c r="N227" s="278"/>
      <c r="O227" s="35"/>
      <c r="Q227" s="261"/>
    </row>
    <row r="228" spans="1:29" ht="17.399999999999999">
      <c r="B228" s="2011" t="s">
        <v>462</v>
      </c>
      <c r="C228" s="2011"/>
      <c r="D228" s="2011"/>
      <c r="E228" s="2011"/>
      <c r="F228" s="2012"/>
      <c r="G228" s="267"/>
      <c r="H228" s="267"/>
      <c r="I228" s="267"/>
      <c r="J228" s="279"/>
      <c r="K228" s="279"/>
      <c r="L228" s="279"/>
      <c r="N228" s="278"/>
      <c r="O228" s="35"/>
      <c r="Q228" s="261"/>
      <c r="U228" s="243" t="s">
        <v>450</v>
      </c>
      <c r="V228" s="236" t="s">
        <v>463</v>
      </c>
      <c r="W228" s="237"/>
      <c r="X228" s="237"/>
      <c r="Y228" s="237"/>
      <c r="Z228" s="237"/>
      <c r="AA228" s="237"/>
      <c r="AB228" s="237"/>
      <c r="AC228" s="238"/>
    </row>
    <row r="229" spans="1:29">
      <c r="B229" s="2013" t="s">
        <v>464</v>
      </c>
      <c r="C229" s="2013"/>
      <c r="D229" s="2013"/>
      <c r="E229" s="2013"/>
      <c r="F229" s="2013"/>
      <c r="G229" s="267"/>
      <c r="H229" s="267"/>
      <c r="I229" s="267"/>
      <c r="J229" s="279"/>
      <c r="K229" s="279"/>
      <c r="L229" s="279"/>
      <c r="N229" s="278"/>
      <c r="O229" s="35"/>
      <c r="Q229" s="261"/>
    </row>
    <row r="230" spans="1:29" s="1" customFormat="1">
      <c r="A230" s="277"/>
      <c r="B230" s="277"/>
      <c r="C230" s="277"/>
      <c r="D230" s="277"/>
      <c r="E230" s="277"/>
      <c r="F230" s="277"/>
      <c r="G230" s="277"/>
      <c r="H230" s="277"/>
      <c r="I230" s="277"/>
      <c r="J230" s="277"/>
      <c r="K230" s="277"/>
      <c r="L230" s="277"/>
      <c r="N230" s="18"/>
      <c r="O230" s="10"/>
      <c r="P230" s="10"/>
      <c r="Q230" s="10"/>
      <c r="R230" s="10"/>
      <c r="U230" s="219"/>
    </row>
    <row r="231" spans="1:29" s="1" customFormat="1">
      <c r="A231" s="277"/>
      <c r="B231" s="277"/>
      <c r="C231" s="277"/>
      <c r="D231" s="277"/>
      <c r="E231" s="277"/>
      <c r="F231" s="277"/>
      <c r="G231" s="277"/>
      <c r="H231" s="277"/>
      <c r="I231" s="277"/>
      <c r="J231" s="277"/>
      <c r="K231" s="277"/>
      <c r="L231" s="277"/>
      <c r="N231" s="18"/>
      <c r="O231" s="10"/>
      <c r="P231" s="10"/>
      <c r="Q231" s="10"/>
      <c r="R231" s="10"/>
      <c r="U231" s="219"/>
    </row>
    <row r="232" spans="1:29" s="1" customFormat="1" ht="15" customHeight="1" thickBot="1">
      <c r="A232" s="16"/>
      <c r="B232" s="16"/>
      <c r="C232" s="16"/>
      <c r="D232" s="16"/>
      <c r="E232" s="17"/>
      <c r="F232" s="18"/>
      <c r="G232" s="4"/>
      <c r="H232" s="4"/>
      <c r="I232" s="4"/>
      <c r="J232" s="4"/>
      <c r="K232" s="4"/>
      <c r="L232" s="4"/>
      <c r="M232" s="4"/>
      <c r="N232" s="10"/>
      <c r="O232" s="10"/>
      <c r="P232" s="10"/>
      <c r="Q232" s="10"/>
      <c r="R232" s="10"/>
      <c r="U232" s="219"/>
    </row>
    <row r="233" spans="1:29">
      <c r="B233" s="2014" t="s">
        <v>465</v>
      </c>
      <c r="C233" s="2015"/>
      <c r="D233" s="2015"/>
      <c r="E233" s="2015"/>
      <c r="F233" s="2015"/>
      <c r="G233" s="2015"/>
      <c r="H233" s="2015"/>
      <c r="I233" s="2015"/>
      <c r="J233" s="2015"/>
      <c r="K233" s="2015"/>
      <c r="L233" s="2015"/>
      <c r="M233" s="2016"/>
      <c r="Q233" s="261"/>
    </row>
    <row r="234" spans="1:29">
      <c r="B234" s="2017" t="s">
        <v>466</v>
      </c>
      <c r="C234" s="1985"/>
      <c r="D234" s="1985"/>
      <c r="E234" s="1985"/>
      <c r="F234" s="1985"/>
      <c r="G234" s="1986"/>
      <c r="H234" s="1984" t="s">
        <v>467</v>
      </c>
      <c r="I234" s="1985"/>
      <c r="J234" s="1986"/>
      <c r="K234" s="1984" t="s">
        <v>468</v>
      </c>
      <c r="L234" s="1985"/>
      <c r="M234" s="2018"/>
      <c r="Q234" s="261" t="s">
        <v>440</v>
      </c>
    </row>
    <row r="235" spans="1:29">
      <c r="B235" s="2006" t="s">
        <v>469</v>
      </c>
      <c r="C235" s="1962"/>
      <c r="D235" s="1962"/>
      <c r="E235" s="1962"/>
      <c r="F235" s="1953"/>
      <c r="G235" s="283" t="s">
        <v>41</v>
      </c>
      <c r="H235" s="2007" t="s">
        <v>442</v>
      </c>
      <c r="I235" s="2008"/>
      <c r="J235" s="283" t="s">
        <v>41</v>
      </c>
      <c r="K235" s="2009" t="s">
        <v>470</v>
      </c>
      <c r="L235" s="2010"/>
      <c r="M235" s="284" t="s">
        <v>41</v>
      </c>
    </row>
    <row r="236" spans="1:29">
      <c r="B236" s="1999" t="s">
        <v>471</v>
      </c>
      <c r="C236" s="2000"/>
      <c r="D236" s="2000"/>
      <c r="E236" s="2000"/>
      <c r="F236" s="2000"/>
      <c r="G236" s="283" t="s">
        <v>41</v>
      </c>
      <c r="H236" s="2001" t="s">
        <v>472</v>
      </c>
      <c r="I236" s="2001"/>
      <c r="J236" s="283" t="s">
        <v>41</v>
      </c>
      <c r="K236" s="1972" t="s">
        <v>473</v>
      </c>
      <c r="L236" s="1972"/>
      <c r="M236" s="284" t="s">
        <v>41</v>
      </c>
    </row>
    <row r="237" spans="1:29">
      <c r="B237" s="1999" t="s">
        <v>474</v>
      </c>
      <c r="C237" s="2000"/>
      <c r="D237" s="2000"/>
      <c r="E237" s="2000"/>
      <c r="F237" s="2000"/>
      <c r="G237" s="283" t="s">
        <v>41</v>
      </c>
      <c r="H237" s="2001" t="s">
        <v>475</v>
      </c>
      <c r="I237" s="2001"/>
      <c r="J237" s="283" t="s">
        <v>41</v>
      </c>
      <c r="K237" s="1972" t="s">
        <v>476</v>
      </c>
      <c r="L237" s="1972"/>
      <c r="M237" s="284" t="s">
        <v>41</v>
      </c>
    </row>
    <row r="238" spans="1:29">
      <c r="B238" s="2002" t="s">
        <v>477</v>
      </c>
      <c r="C238" s="2003"/>
      <c r="D238" s="2003"/>
      <c r="E238" s="2003"/>
      <c r="F238" s="2003"/>
      <c r="G238" s="285" t="s">
        <v>41</v>
      </c>
      <c r="H238" s="2004" t="s">
        <v>478</v>
      </c>
      <c r="I238" s="2004"/>
      <c r="J238" s="285" t="s">
        <v>41</v>
      </c>
      <c r="K238" s="1973"/>
      <c r="L238" s="1974"/>
      <c r="M238" s="2005"/>
    </row>
    <row r="239" spans="1:29">
      <c r="B239" s="1994" t="s">
        <v>479</v>
      </c>
      <c r="C239" s="1995"/>
      <c r="D239" s="1995"/>
      <c r="E239" s="1995"/>
      <c r="F239" s="1995"/>
      <c r="G239" s="1995"/>
      <c r="H239" s="1995"/>
      <c r="I239" s="1995"/>
      <c r="J239" s="1995"/>
      <c r="K239" s="1995"/>
      <c r="L239" s="1995"/>
      <c r="M239" s="1996"/>
    </row>
    <row r="240" spans="1:29">
      <c r="B240" s="1987" t="s">
        <v>480</v>
      </c>
      <c r="C240" s="1988"/>
      <c r="D240" s="1988"/>
      <c r="E240" s="1988"/>
      <c r="F240" s="1988"/>
      <c r="G240" s="1988"/>
      <c r="H240" s="1988"/>
      <c r="I240" s="286"/>
      <c r="J240" s="286"/>
      <c r="K240" s="286"/>
      <c r="L240" s="286"/>
      <c r="M240" s="287"/>
    </row>
    <row r="241" spans="2:28">
      <c r="B241" s="1960" t="s">
        <v>481</v>
      </c>
      <c r="C241" s="1961"/>
      <c r="D241" s="1961"/>
      <c r="E241" s="1961"/>
      <c r="F241" s="1961"/>
      <c r="G241" s="288"/>
      <c r="H241" s="289"/>
      <c r="I241" s="286"/>
      <c r="J241" s="286"/>
      <c r="K241" s="286"/>
      <c r="L241" s="286"/>
      <c r="M241" s="287"/>
    </row>
    <row r="242" spans="2:28">
      <c r="B242" s="1960" t="s">
        <v>482</v>
      </c>
      <c r="C242" s="1961"/>
      <c r="D242" s="1961"/>
      <c r="E242" s="1961"/>
      <c r="F242" s="1961"/>
      <c r="G242" s="288"/>
      <c r="H242" s="289"/>
      <c r="I242" s="286"/>
      <c r="J242" s="286"/>
      <c r="K242" s="286"/>
      <c r="L242" s="286"/>
      <c r="M242" s="287"/>
    </row>
    <row r="243" spans="2:28" ht="15.75" customHeight="1">
      <c r="B243" s="1960" t="s">
        <v>483</v>
      </c>
      <c r="C243" s="1961"/>
      <c r="D243" s="1961"/>
      <c r="E243" s="1961"/>
      <c r="F243" s="1961"/>
      <c r="G243" s="288" t="s">
        <v>190</v>
      </c>
      <c r="H243" s="289"/>
      <c r="I243" s="286"/>
      <c r="J243" s="286"/>
      <c r="K243" s="286"/>
      <c r="L243" s="286"/>
      <c r="M243" s="287"/>
      <c r="P243" s="35"/>
      <c r="Q243" s="35"/>
      <c r="R243" s="35"/>
      <c r="S243"/>
      <c r="T243"/>
    </row>
    <row r="244" spans="2:28" ht="15" customHeight="1">
      <c r="B244" s="1960" t="s">
        <v>484</v>
      </c>
      <c r="C244" s="1961"/>
      <c r="D244" s="1961"/>
      <c r="E244" s="1961"/>
      <c r="F244" s="1961"/>
      <c r="G244" s="288" t="s">
        <v>485</v>
      </c>
      <c r="H244" s="289"/>
      <c r="I244" s="286"/>
      <c r="J244" s="286"/>
      <c r="K244" s="286"/>
      <c r="L244" s="286"/>
      <c r="M244" s="287"/>
      <c r="P244" s="35"/>
      <c r="Q244" s="35"/>
      <c r="R244" s="35"/>
      <c r="S244"/>
      <c r="T244"/>
    </row>
    <row r="245" spans="2:28" ht="15" customHeight="1">
      <c r="B245" s="1960" t="s">
        <v>486</v>
      </c>
      <c r="C245" s="1961"/>
      <c r="D245" s="1961"/>
      <c r="E245" s="1961"/>
      <c r="F245" s="1961"/>
      <c r="G245" s="288"/>
      <c r="H245" s="289"/>
      <c r="I245" s="286"/>
      <c r="J245" s="286"/>
      <c r="K245" s="286"/>
      <c r="L245" s="286"/>
      <c r="M245" s="287"/>
      <c r="P245" s="35"/>
      <c r="Q245" s="35"/>
      <c r="R245" s="35"/>
      <c r="S245"/>
      <c r="T245"/>
    </row>
    <row r="246" spans="2:28">
      <c r="B246" s="1960" t="s">
        <v>487</v>
      </c>
      <c r="C246" s="1961"/>
      <c r="D246" s="1961"/>
      <c r="E246" s="1961"/>
      <c r="F246" s="1961"/>
      <c r="G246" s="288" t="s">
        <v>488</v>
      </c>
      <c r="H246" s="289"/>
      <c r="I246" s="286"/>
      <c r="J246" s="286"/>
      <c r="K246" s="286"/>
      <c r="L246" s="286"/>
      <c r="M246" s="287"/>
      <c r="P246" s="35"/>
      <c r="Q246" s="35"/>
      <c r="R246" s="35"/>
      <c r="S246"/>
      <c r="T246"/>
    </row>
    <row r="247" spans="2:28" ht="15" customHeight="1">
      <c r="B247" s="1960" t="s">
        <v>489</v>
      </c>
      <c r="C247" s="1961"/>
      <c r="D247" s="1961"/>
      <c r="E247" s="1961"/>
      <c r="F247" s="1961"/>
      <c r="G247" s="288" t="s">
        <v>190</v>
      </c>
      <c r="H247" s="289"/>
      <c r="I247" s="286"/>
      <c r="J247" s="286"/>
      <c r="K247" s="286"/>
      <c r="L247" s="286"/>
      <c r="M247" s="287"/>
      <c r="P247" s="35"/>
      <c r="Q247" s="35"/>
      <c r="R247" s="35"/>
      <c r="S247"/>
      <c r="T247"/>
      <c r="Y247" s="251" t="s">
        <v>408</v>
      </c>
      <c r="AB247" s="251" t="s">
        <v>409</v>
      </c>
    </row>
    <row r="248" spans="2:28" ht="15" customHeight="1">
      <c r="B248" s="1960" t="s">
        <v>490</v>
      </c>
      <c r="C248" s="1961"/>
      <c r="D248" s="1961"/>
      <c r="E248" s="1961"/>
      <c r="F248" s="1961"/>
      <c r="G248" s="288" t="s">
        <v>485</v>
      </c>
      <c r="H248" s="289"/>
      <c r="I248" s="286"/>
      <c r="J248" s="286"/>
      <c r="K248" s="286"/>
      <c r="L248" s="286"/>
      <c r="M248" s="287"/>
      <c r="N248" s="10" t="s">
        <v>491</v>
      </c>
      <c r="P248" s="35"/>
      <c r="Q248" s="35"/>
      <c r="R248" s="35"/>
      <c r="S248"/>
      <c r="T248"/>
    </row>
    <row r="249" spans="2:28" ht="15" customHeight="1">
      <c r="B249" s="1960" t="s">
        <v>492</v>
      </c>
      <c r="C249" s="1961"/>
      <c r="D249" s="1961"/>
      <c r="E249" s="1961"/>
      <c r="F249" s="1961"/>
      <c r="G249" s="288" t="s">
        <v>485</v>
      </c>
      <c r="H249" s="289"/>
      <c r="I249" s="286"/>
      <c r="J249" s="286"/>
      <c r="K249" s="286"/>
      <c r="L249" s="286"/>
      <c r="M249" s="287"/>
      <c r="N249" s="10" t="s">
        <v>491</v>
      </c>
      <c r="P249" s="35"/>
      <c r="Q249" s="35"/>
      <c r="R249" s="35"/>
      <c r="S249"/>
      <c r="T249"/>
    </row>
    <row r="250" spans="2:28" ht="15" customHeight="1">
      <c r="B250" s="1960" t="s">
        <v>493</v>
      </c>
      <c r="C250" s="1961"/>
      <c r="D250" s="1961"/>
      <c r="E250" s="1961"/>
      <c r="F250" s="1961"/>
      <c r="G250" s="288"/>
      <c r="H250" s="283" t="s">
        <v>41</v>
      </c>
      <c r="I250" s="286"/>
      <c r="J250" s="286"/>
      <c r="K250" s="286"/>
      <c r="L250" s="286"/>
      <c r="M250" s="287"/>
      <c r="P250" s="35"/>
      <c r="Q250" s="35"/>
      <c r="R250" s="35"/>
      <c r="S250"/>
      <c r="T250"/>
    </row>
    <row r="251" spans="2:28" ht="15" customHeight="1">
      <c r="B251" s="1960" t="s">
        <v>494</v>
      </c>
      <c r="C251" s="1961"/>
      <c r="D251" s="1961"/>
      <c r="E251" s="1961"/>
      <c r="F251" s="1961"/>
      <c r="G251" s="288" t="s">
        <v>190</v>
      </c>
      <c r="H251" s="289"/>
      <c r="I251" s="286"/>
      <c r="J251" s="286"/>
      <c r="K251" s="286"/>
      <c r="L251" s="286"/>
      <c r="M251" s="287"/>
      <c r="P251" s="35"/>
      <c r="Q251" s="35"/>
      <c r="R251" s="35"/>
      <c r="S251"/>
      <c r="T251"/>
    </row>
    <row r="252" spans="2:28" ht="15" customHeight="1">
      <c r="B252" s="1960" t="s">
        <v>495</v>
      </c>
      <c r="C252" s="1961"/>
      <c r="D252" s="1961"/>
      <c r="E252" s="1961"/>
      <c r="F252" s="1961"/>
      <c r="G252" s="288"/>
      <c r="H252" s="289"/>
      <c r="I252" s="286"/>
      <c r="J252" s="286"/>
      <c r="K252" s="286"/>
      <c r="L252" s="286"/>
      <c r="M252" s="287"/>
      <c r="P252" s="35"/>
      <c r="Q252" s="35"/>
      <c r="R252" s="35"/>
      <c r="S252"/>
      <c r="T252"/>
    </row>
    <row r="253" spans="2:28" ht="15" customHeight="1">
      <c r="B253" s="1997" t="s">
        <v>496</v>
      </c>
      <c r="C253" s="1998"/>
      <c r="D253" s="1998"/>
      <c r="E253" s="1998"/>
      <c r="F253" s="1998"/>
      <c r="G253" s="1998"/>
      <c r="H253" s="1998"/>
      <c r="I253" s="286"/>
      <c r="J253" s="286"/>
      <c r="K253" s="286"/>
      <c r="L253" s="286"/>
      <c r="M253" s="287"/>
      <c r="P253" s="35"/>
      <c r="Q253" s="35"/>
      <c r="R253" s="35"/>
      <c r="S253"/>
      <c r="T253"/>
    </row>
    <row r="254" spans="2:28" ht="15" customHeight="1">
      <c r="B254" s="290"/>
      <c r="C254" s="291"/>
      <c r="D254" s="291"/>
      <c r="E254" s="292"/>
      <c r="F254" s="292"/>
      <c r="G254" s="292"/>
      <c r="H254" s="293" t="s">
        <v>497</v>
      </c>
      <c r="I254" s="293" t="s">
        <v>498</v>
      </c>
      <c r="J254" s="286"/>
      <c r="K254" s="286"/>
      <c r="L254" s="286"/>
      <c r="M254" s="287"/>
      <c r="P254" s="35"/>
      <c r="Q254" s="35"/>
      <c r="R254" s="35"/>
      <c r="S254"/>
      <c r="T254"/>
    </row>
    <row r="255" spans="2:28" ht="15" customHeight="1">
      <c r="B255" s="1960" t="s">
        <v>499</v>
      </c>
      <c r="C255" s="1961"/>
      <c r="D255" s="1961"/>
      <c r="E255" s="1961"/>
      <c r="F255" s="1961"/>
      <c r="G255" s="294" t="s">
        <v>500</v>
      </c>
      <c r="H255" s="295"/>
      <c r="I255" s="295"/>
      <c r="J255" s="286"/>
      <c r="K255" s="286"/>
      <c r="L255" s="286"/>
      <c r="M255" s="287"/>
      <c r="N255" s="10" t="s">
        <v>501</v>
      </c>
      <c r="P255" s="35"/>
      <c r="Q255" s="35"/>
      <c r="R255" s="35"/>
      <c r="S255"/>
      <c r="T255"/>
    </row>
    <row r="256" spans="2:28" ht="15" customHeight="1">
      <c r="B256" s="1960" t="s">
        <v>502</v>
      </c>
      <c r="C256" s="1961"/>
      <c r="D256" s="1961"/>
      <c r="E256" s="1961"/>
      <c r="F256" s="1961"/>
      <c r="G256" s="294" t="s">
        <v>500</v>
      </c>
      <c r="H256" s="295"/>
      <c r="I256" s="295"/>
      <c r="J256" s="286"/>
      <c r="K256" s="286"/>
      <c r="L256" s="286"/>
      <c r="M256" s="287"/>
      <c r="P256" s="35"/>
      <c r="Q256" s="35"/>
      <c r="R256" s="35"/>
      <c r="S256"/>
      <c r="T256"/>
    </row>
    <row r="257" spans="2:20" ht="15" customHeight="1">
      <c r="B257" s="1960" t="s">
        <v>503</v>
      </c>
      <c r="C257" s="1961"/>
      <c r="D257" s="1961"/>
      <c r="E257" s="1961"/>
      <c r="F257" s="1961"/>
      <c r="G257" s="294" t="s">
        <v>504</v>
      </c>
      <c r="H257" s="295"/>
      <c r="I257" s="295"/>
      <c r="J257" s="286"/>
      <c r="K257" s="286"/>
      <c r="L257" s="286"/>
      <c r="M257" s="287"/>
      <c r="P257" s="35"/>
      <c r="Q257" s="35"/>
      <c r="R257" s="35"/>
      <c r="S257"/>
      <c r="T257"/>
    </row>
    <row r="258" spans="2:20" ht="15" customHeight="1">
      <c r="B258" s="1960" t="s">
        <v>505</v>
      </c>
      <c r="C258" s="1961"/>
      <c r="D258" s="1961"/>
      <c r="E258" s="1961"/>
      <c r="F258" s="1961"/>
      <c r="G258" s="294" t="s">
        <v>506</v>
      </c>
      <c r="H258" s="225"/>
      <c r="I258" s="225"/>
      <c r="J258" s="75"/>
      <c r="K258" s="75"/>
      <c r="L258" s="75"/>
      <c r="M258" s="233"/>
      <c r="P258" s="35"/>
      <c r="Q258" s="35"/>
      <c r="R258" s="35"/>
      <c r="S258"/>
      <c r="T258"/>
    </row>
    <row r="259" spans="2:20" ht="15" customHeight="1">
      <c r="B259" s="1994" t="s">
        <v>507</v>
      </c>
      <c r="C259" s="1995"/>
      <c r="D259" s="1995"/>
      <c r="E259" s="1995"/>
      <c r="F259" s="1995"/>
      <c r="G259" s="1995"/>
      <c r="H259" s="1995"/>
      <c r="I259" s="1995"/>
      <c r="J259" s="1995"/>
      <c r="K259" s="1995"/>
      <c r="L259" s="1995"/>
      <c r="M259" s="1996"/>
      <c r="P259" s="35"/>
      <c r="Q259" s="35"/>
      <c r="R259" s="35"/>
      <c r="S259"/>
      <c r="T259"/>
    </row>
    <row r="260" spans="2:20" ht="15" customHeight="1">
      <c r="B260" s="1991" t="s">
        <v>508</v>
      </c>
      <c r="C260" s="1992"/>
      <c r="D260" s="1992"/>
      <c r="E260" s="1992"/>
      <c r="F260" s="1993"/>
      <c r="G260" s="288"/>
      <c r="H260" s="289"/>
      <c r="I260" s="286"/>
      <c r="J260" s="286"/>
      <c r="K260" s="286"/>
      <c r="L260" s="286"/>
      <c r="M260" s="287"/>
      <c r="P260" s="35"/>
      <c r="Q260" s="35"/>
      <c r="R260" s="35"/>
      <c r="S260"/>
      <c r="T260"/>
    </row>
    <row r="261" spans="2:20" ht="15" customHeight="1">
      <c r="B261" s="1991" t="s">
        <v>483</v>
      </c>
      <c r="C261" s="1992"/>
      <c r="D261" s="1992"/>
      <c r="E261" s="1992"/>
      <c r="F261" s="1993"/>
      <c r="G261" s="288" t="s">
        <v>190</v>
      </c>
      <c r="H261" s="289"/>
      <c r="I261" s="286"/>
      <c r="J261" s="286"/>
      <c r="K261" s="286"/>
      <c r="L261" s="286"/>
      <c r="M261" s="287"/>
      <c r="P261" s="35"/>
      <c r="Q261" s="35"/>
      <c r="R261" s="35"/>
      <c r="S261"/>
      <c r="T261"/>
    </row>
    <row r="262" spans="2:20" ht="15" customHeight="1">
      <c r="B262" s="1991" t="s">
        <v>509</v>
      </c>
      <c r="C262" s="1992"/>
      <c r="D262" s="1992"/>
      <c r="E262" s="1992"/>
      <c r="F262" s="1993"/>
      <c r="G262" s="288" t="s">
        <v>190</v>
      </c>
      <c r="H262" s="289"/>
      <c r="I262" s="286"/>
      <c r="J262" s="286"/>
      <c r="K262" s="286"/>
      <c r="L262" s="286"/>
      <c r="M262" s="287"/>
      <c r="P262" s="35"/>
      <c r="Q262" s="35"/>
      <c r="R262" s="35"/>
      <c r="S262"/>
      <c r="T262"/>
    </row>
    <row r="263" spans="2:20" ht="15" customHeight="1">
      <c r="B263" s="1991" t="s">
        <v>510</v>
      </c>
      <c r="C263" s="1992"/>
      <c r="D263" s="1992"/>
      <c r="E263" s="1992"/>
      <c r="F263" s="1993"/>
      <c r="G263" s="288"/>
      <c r="H263" s="289"/>
      <c r="I263" s="296"/>
      <c r="J263" s="296"/>
      <c r="K263" s="75"/>
      <c r="L263" s="75"/>
      <c r="M263" s="233"/>
      <c r="P263" s="35"/>
      <c r="Q263" s="35"/>
      <c r="R263" s="35"/>
      <c r="S263"/>
      <c r="T263"/>
    </row>
    <row r="264" spans="2:20">
      <c r="B264" s="1991" t="s">
        <v>511</v>
      </c>
      <c r="C264" s="1992"/>
      <c r="D264" s="1992"/>
      <c r="E264" s="1992"/>
      <c r="F264" s="1993"/>
      <c r="G264" s="288" t="s">
        <v>485</v>
      </c>
      <c r="H264" s="289"/>
      <c r="I264" s="12"/>
      <c r="J264" s="12"/>
      <c r="K264" s="13"/>
      <c r="L264" s="13"/>
      <c r="M264" s="233"/>
      <c r="P264" s="35"/>
      <c r="Q264" s="35"/>
      <c r="R264" s="35"/>
      <c r="S264"/>
      <c r="T264"/>
    </row>
    <row r="265" spans="2:20" ht="15" customHeight="1">
      <c r="B265" s="1991" t="s">
        <v>512</v>
      </c>
      <c r="C265" s="1992"/>
      <c r="D265" s="1992"/>
      <c r="E265" s="1992"/>
      <c r="F265" s="1993"/>
      <c r="G265" s="288" t="s">
        <v>190</v>
      </c>
      <c r="H265" s="289"/>
      <c r="I265" s="12"/>
      <c r="J265" s="12"/>
      <c r="K265" s="13"/>
      <c r="L265" s="13"/>
      <c r="M265" s="233"/>
      <c r="P265" s="35"/>
      <c r="Q265" s="35"/>
      <c r="R265" s="35"/>
      <c r="S265"/>
      <c r="T265"/>
    </row>
    <row r="266" spans="2:20" ht="15" customHeight="1">
      <c r="B266" s="1991" t="s">
        <v>513</v>
      </c>
      <c r="C266" s="1992"/>
      <c r="D266" s="1992"/>
      <c r="E266" s="1992"/>
      <c r="F266" s="1993"/>
      <c r="G266" s="288" t="s">
        <v>514</v>
      </c>
      <c r="H266" s="289"/>
      <c r="I266" s="12"/>
      <c r="J266" s="12"/>
      <c r="K266" s="13"/>
      <c r="L266" s="13"/>
      <c r="M266" s="233"/>
      <c r="N266" s="10" t="s">
        <v>515</v>
      </c>
      <c r="P266" s="35"/>
      <c r="Q266" s="35"/>
      <c r="R266" s="35"/>
      <c r="S266"/>
      <c r="T266"/>
    </row>
    <row r="267" spans="2:20" ht="15" customHeight="1">
      <c r="B267" s="1991" t="s">
        <v>516</v>
      </c>
      <c r="C267" s="1992"/>
      <c r="D267" s="1992"/>
      <c r="E267" s="1992"/>
      <c r="F267" s="1993"/>
      <c r="G267" s="288" t="s">
        <v>517</v>
      </c>
      <c r="H267" s="289"/>
      <c r="I267" s="14"/>
      <c r="J267" s="14"/>
      <c r="K267" s="13"/>
      <c r="L267" s="13"/>
      <c r="M267" s="233"/>
    </row>
    <row r="268" spans="2:20" ht="15" customHeight="1">
      <c r="B268" s="1991" t="s">
        <v>518</v>
      </c>
      <c r="C268" s="1992"/>
      <c r="D268" s="1992"/>
      <c r="E268" s="1992"/>
      <c r="F268" s="1993"/>
      <c r="G268" s="288" t="s">
        <v>504</v>
      </c>
      <c r="H268" s="289"/>
      <c r="I268" s="12"/>
      <c r="J268" s="12"/>
      <c r="K268" s="13"/>
      <c r="L268" s="13"/>
      <c r="M268" s="233"/>
    </row>
    <row r="269" spans="2:20" ht="15" customHeight="1">
      <c r="B269" s="1994" t="s">
        <v>519</v>
      </c>
      <c r="C269" s="1995"/>
      <c r="D269" s="1995"/>
      <c r="E269" s="1995"/>
      <c r="F269" s="1995"/>
      <c r="G269" s="1995"/>
      <c r="H269" s="1995"/>
      <c r="I269" s="1995"/>
      <c r="J269" s="1995"/>
      <c r="K269" s="1995"/>
      <c r="L269" s="1995"/>
      <c r="M269" s="1996"/>
    </row>
    <row r="270" spans="2:20" ht="15" customHeight="1">
      <c r="B270" s="1987" t="s">
        <v>520</v>
      </c>
      <c r="C270" s="1988"/>
      <c r="D270" s="1988"/>
      <c r="E270" s="1988"/>
      <c r="F270" s="1988"/>
      <c r="G270" s="1988"/>
      <c r="H270" s="1988"/>
      <c r="I270" s="283" t="s">
        <v>41</v>
      </c>
      <c r="J270" s="286"/>
      <c r="K270" s="286"/>
      <c r="L270" s="286"/>
      <c r="M270" s="287"/>
    </row>
    <row r="271" spans="2:20" ht="15" customHeight="1">
      <c r="B271" s="1960" t="s">
        <v>521</v>
      </c>
      <c r="C271" s="1961"/>
      <c r="D271" s="1961"/>
      <c r="E271" s="1961"/>
      <c r="F271" s="1961"/>
      <c r="G271" s="288" t="s">
        <v>485</v>
      </c>
      <c r="H271" s="289"/>
      <c r="I271" s="286"/>
      <c r="J271" s="286"/>
      <c r="K271" s="286"/>
      <c r="L271" s="286"/>
      <c r="M271" s="287"/>
    </row>
    <row r="272" spans="2:20" ht="15" customHeight="1">
      <c r="B272" s="1960" t="s">
        <v>522</v>
      </c>
      <c r="C272" s="1961"/>
      <c r="D272" s="1961"/>
      <c r="E272" s="1961"/>
      <c r="F272" s="1961"/>
      <c r="G272" s="288"/>
      <c r="H272" s="289"/>
      <c r="I272" s="286"/>
      <c r="J272" s="286"/>
      <c r="K272" s="286"/>
      <c r="L272" s="286"/>
      <c r="M272" s="287"/>
      <c r="N272" s="10" t="s">
        <v>523</v>
      </c>
    </row>
    <row r="273" spans="2:14" ht="15" customHeight="1">
      <c r="B273" s="1960" t="s">
        <v>524</v>
      </c>
      <c r="C273" s="1961"/>
      <c r="D273" s="1961"/>
      <c r="E273" s="1961"/>
      <c r="F273" s="1961"/>
      <c r="G273" s="288" t="s">
        <v>525</v>
      </c>
      <c r="H273" s="289"/>
      <c r="I273" s="286"/>
      <c r="J273" s="286"/>
      <c r="K273" s="286"/>
      <c r="L273" s="286"/>
      <c r="M273" s="287"/>
      <c r="N273" s="10" t="s">
        <v>526</v>
      </c>
    </row>
    <row r="274" spans="2:14" ht="15" customHeight="1">
      <c r="B274" s="1960" t="s">
        <v>527</v>
      </c>
      <c r="C274" s="1961"/>
      <c r="D274" s="1961"/>
      <c r="E274" s="1961"/>
      <c r="F274" s="1961"/>
      <c r="G274" s="288"/>
      <c r="H274" s="289"/>
      <c r="I274" s="286"/>
      <c r="J274" s="286"/>
      <c r="K274" s="286"/>
      <c r="L274" s="286"/>
      <c r="M274" s="287"/>
    </row>
    <row r="275" spans="2:14" ht="15" customHeight="1">
      <c r="B275" s="1960" t="s">
        <v>528</v>
      </c>
      <c r="C275" s="1961"/>
      <c r="D275" s="1961"/>
      <c r="E275" s="1961"/>
      <c r="F275" s="1961"/>
      <c r="G275" s="288"/>
      <c r="H275" s="289"/>
      <c r="I275" s="286"/>
      <c r="J275" s="286"/>
      <c r="K275" s="286"/>
      <c r="L275" s="286"/>
      <c r="M275" s="287"/>
      <c r="N275" s="10" t="s">
        <v>529</v>
      </c>
    </row>
    <row r="276" spans="2:14" ht="15" customHeight="1">
      <c r="B276" s="1960" t="s">
        <v>530</v>
      </c>
      <c r="C276" s="1961"/>
      <c r="D276" s="1961"/>
      <c r="E276" s="1961"/>
      <c r="F276" s="1961"/>
      <c r="G276" s="288" t="s">
        <v>108</v>
      </c>
      <c r="H276" s="289"/>
      <c r="I276" s="286"/>
      <c r="J276" s="286"/>
      <c r="K276" s="286"/>
      <c r="L276" s="286"/>
      <c r="M276" s="287"/>
    </row>
    <row r="277" spans="2:14" ht="24.75" customHeight="1">
      <c r="B277" s="1960" t="s">
        <v>531</v>
      </c>
      <c r="C277" s="1961"/>
      <c r="D277" s="1961"/>
      <c r="E277" s="1961"/>
      <c r="F277" s="1961"/>
      <c r="G277" s="288" t="s">
        <v>53</v>
      </c>
      <c r="H277" s="289"/>
      <c r="I277" s="286"/>
      <c r="J277" s="286"/>
      <c r="K277" s="286"/>
      <c r="L277" s="286"/>
      <c r="M277" s="287"/>
      <c r="N277" s="10" t="s">
        <v>529</v>
      </c>
    </row>
    <row r="278" spans="2:14" ht="15" customHeight="1">
      <c r="B278" s="1987" t="s">
        <v>532</v>
      </c>
      <c r="C278" s="1988"/>
      <c r="D278" s="1988"/>
      <c r="E278" s="1988"/>
      <c r="F278" s="1988"/>
      <c r="G278" s="1988"/>
      <c r="H278" s="1988"/>
      <c r="I278" s="283" t="s">
        <v>41</v>
      </c>
      <c r="J278" s="286"/>
      <c r="K278" s="286"/>
      <c r="L278" s="286"/>
      <c r="M278" s="287"/>
      <c r="N278" s="10" t="s">
        <v>529</v>
      </c>
    </row>
    <row r="279" spans="2:14" ht="15" customHeight="1">
      <c r="B279" s="1960" t="s">
        <v>528</v>
      </c>
      <c r="C279" s="1961"/>
      <c r="D279" s="1961"/>
      <c r="E279" s="1961"/>
      <c r="F279" s="1961"/>
      <c r="G279" s="288"/>
      <c r="H279" s="289"/>
      <c r="I279" s="286"/>
      <c r="J279" s="286"/>
      <c r="K279" s="286"/>
      <c r="L279" s="286"/>
      <c r="M279" s="287"/>
    </row>
    <row r="280" spans="2:14" ht="15" customHeight="1">
      <c r="B280" s="1960" t="s">
        <v>530</v>
      </c>
      <c r="C280" s="1961"/>
      <c r="D280" s="1961"/>
      <c r="E280" s="1961"/>
      <c r="F280" s="1961"/>
      <c r="G280" s="288" t="s">
        <v>108</v>
      </c>
      <c r="H280" s="289"/>
      <c r="I280" s="286"/>
      <c r="J280" s="286"/>
      <c r="K280" s="286"/>
      <c r="L280" s="286"/>
      <c r="M280" s="287"/>
    </row>
    <row r="281" spans="2:14" ht="15" customHeight="1">
      <c r="B281" s="1960" t="s">
        <v>531</v>
      </c>
      <c r="C281" s="1961"/>
      <c r="D281" s="1961"/>
      <c r="E281" s="1961"/>
      <c r="F281" s="1961"/>
      <c r="G281" s="288" t="s">
        <v>53</v>
      </c>
      <c r="H281" s="289"/>
      <c r="I281" s="286"/>
      <c r="J281" s="286"/>
      <c r="K281" s="286"/>
      <c r="L281" s="286"/>
      <c r="M281" s="287"/>
      <c r="N281" s="10" t="s">
        <v>526</v>
      </c>
    </row>
    <row r="282" spans="2:14" ht="15" customHeight="1">
      <c r="B282" s="1987" t="s">
        <v>533</v>
      </c>
      <c r="C282" s="1988"/>
      <c r="D282" s="1988"/>
      <c r="E282" s="1988"/>
      <c r="F282" s="1988"/>
      <c r="G282" s="1988"/>
      <c r="H282" s="1988"/>
      <c r="I282" s="286"/>
      <c r="J282" s="286"/>
      <c r="K282" s="286"/>
      <c r="L282" s="286"/>
      <c r="M282" s="287"/>
    </row>
    <row r="283" spans="2:14" ht="15" customHeight="1">
      <c r="B283" s="1960" t="s">
        <v>534</v>
      </c>
      <c r="C283" s="1961"/>
      <c r="D283" s="1961"/>
      <c r="E283" s="1961"/>
      <c r="F283" s="1961"/>
      <c r="G283" s="288" t="s">
        <v>535</v>
      </c>
      <c r="H283" s="289"/>
      <c r="I283" s="286"/>
      <c r="J283" s="286"/>
      <c r="K283" s="286"/>
      <c r="L283" s="286"/>
      <c r="M283" s="287"/>
    </row>
    <row r="284" spans="2:14" ht="15" customHeight="1">
      <c r="B284" s="1960" t="s">
        <v>536</v>
      </c>
      <c r="C284" s="1961"/>
      <c r="D284" s="1961"/>
      <c r="E284" s="1961"/>
      <c r="F284" s="1961"/>
      <c r="G284" s="288" t="s">
        <v>506</v>
      </c>
      <c r="H284" s="289"/>
      <c r="I284" s="286"/>
      <c r="J284" s="286"/>
      <c r="K284" s="286"/>
      <c r="L284" s="286"/>
      <c r="M284" s="287"/>
    </row>
    <row r="285" spans="2:14" ht="15" customHeight="1">
      <c r="B285" s="1960" t="s">
        <v>537</v>
      </c>
      <c r="C285" s="1961"/>
      <c r="D285" s="1961"/>
      <c r="E285" s="1961"/>
      <c r="F285" s="1961"/>
      <c r="G285" s="288" t="s">
        <v>506</v>
      </c>
      <c r="H285" s="289"/>
      <c r="I285" s="286"/>
      <c r="J285" s="286"/>
      <c r="K285" s="286"/>
      <c r="L285" s="286"/>
      <c r="M285" s="287"/>
    </row>
    <row r="286" spans="2:14" ht="15" customHeight="1">
      <c r="B286" s="1960" t="s">
        <v>538</v>
      </c>
      <c r="C286" s="1961"/>
      <c r="D286" s="1961"/>
      <c r="E286" s="1961"/>
      <c r="F286" s="1961"/>
      <c r="G286" s="288" t="s">
        <v>539</v>
      </c>
      <c r="H286" s="289"/>
      <c r="I286" s="12"/>
      <c r="J286" s="12"/>
      <c r="K286" s="13"/>
      <c r="L286" s="13"/>
      <c r="M286" s="233"/>
    </row>
    <row r="287" spans="2:14" ht="15" customHeight="1" thickBot="1">
      <c r="B287" s="1989" t="s">
        <v>540</v>
      </c>
      <c r="C287" s="1990"/>
      <c r="D287" s="1990"/>
      <c r="E287" s="1990"/>
      <c r="F287" s="1990"/>
      <c r="G287" s="297" t="s">
        <v>190</v>
      </c>
      <c r="H287" s="298"/>
      <c r="I287" s="299"/>
      <c r="J287" s="299"/>
      <c r="K287" s="300"/>
      <c r="L287" s="300"/>
      <c r="M287" s="301"/>
    </row>
    <row r="288" spans="2:14" ht="15" customHeight="1">
      <c r="B288" s="1980" t="s">
        <v>541</v>
      </c>
      <c r="C288" s="1981"/>
      <c r="D288" s="1981"/>
      <c r="E288" s="1981"/>
      <c r="F288" s="1981"/>
      <c r="G288" s="1981"/>
      <c r="H288" s="1981"/>
      <c r="I288" s="1981"/>
      <c r="J288" s="1981"/>
      <c r="K288" s="1981"/>
      <c r="L288" s="1981"/>
      <c r="M288" s="1982"/>
    </row>
    <row r="289" spans="2:20" ht="15" customHeight="1">
      <c r="B289" s="1983" t="s">
        <v>542</v>
      </c>
      <c r="C289" s="1983"/>
      <c r="D289" s="1984" t="s">
        <v>543</v>
      </c>
      <c r="E289" s="1985"/>
      <c r="F289" s="1986"/>
      <c r="G289" s="302" t="s">
        <v>544</v>
      </c>
      <c r="H289" s="302"/>
      <c r="I289" s="302"/>
      <c r="K289" s="1984" t="s">
        <v>545</v>
      </c>
      <c r="L289" s="1985"/>
      <c r="M289" s="1986"/>
    </row>
    <row r="290" spans="2:20" ht="15" customHeight="1">
      <c r="B290" s="303" t="s">
        <v>546</v>
      </c>
      <c r="C290" s="283" t="s">
        <v>41</v>
      </c>
      <c r="D290" s="303" t="s">
        <v>547</v>
      </c>
      <c r="E290" s="283" t="s">
        <v>41</v>
      </c>
      <c r="G290" s="304" t="s">
        <v>548</v>
      </c>
      <c r="H290" s="283" t="s">
        <v>41</v>
      </c>
      <c r="I290" s="304"/>
      <c r="K290" s="1972" t="s">
        <v>470</v>
      </c>
      <c r="L290" s="1972"/>
      <c r="M290" s="283" t="s">
        <v>41</v>
      </c>
    </row>
    <row r="291" spans="2:20" ht="15" customHeight="1">
      <c r="B291" s="303" t="s">
        <v>549</v>
      </c>
      <c r="C291" s="283" t="s">
        <v>41</v>
      </c>
      <c r="D291" s="303" t="s">
        <v>550</v>
      </c>
      <c r="E291" s="283" t="s">
        <v>41</v>
      </c>
      <c r="G291" s="304" t="s">
        <v>548</v>
      </c>
      <c r="H291" s="283" t="s">
        <v>41</v>
      </c>
      <c r="I291" s="304"/>
      <c r="K291" s="1972" t="s">
        <v>473</v>
      </c>
      <c r="L291" s="1972"/>
      <c r="M291" s="283" t="s">
        <v>41</v>
      </c>
      <c r="P291" s="35"/>
      <c r="Q291" s="35"/>
      <c r="R291" s="35"/>
      <c r="S291"/>
      <c r="T291"/>
    </row>
    <row r="292" spans="2:20" ht="15" customHeight="1">
      <c r="B292" s="303" t="s">
        <v>551</v>
      </c>
      <c r="C292" s="283" t="s">
        <v>41</v>
      </c>
      <c r="D292" s="303" t="s">
        <v>552</v>
      </c>
      <c r="E292" s="283" t="s">
        <v>41</v>
      </c>
      <c r="G292" s="304" t="s">
        <v>548</v>
      </c>
      <c r="H292" s="283" t="s">
        <v>41</v>
      </c>
      <c r="I292" s="304"/>
      <c r="K292" s="1972" t="s">
        <v>476</v>
      </c>
      <c r="L292" s="1972"/>
      <c r="M292" s="283" t="s">
        <v>41</v>
      </c>
      <c r="P292" s="35"/>
      <c r="Q292" s="35"/>
      <c r="R292" s="35"/>
      <c r="S292"/>
      <c r="T292"/>
    </row>
    <row r="293" spans="2:20" ht="15" customHeight="1">
      <c r="B293" s="303" t="s">
        <v>553</v>
      </c>
      <c r="C293" s="283" t="s">
        <v>41</v>
      </c>
      <c r="D293" s="303" t="s">
        <v>554</v>
      </c>
      <c r="E293" s="283" t="s">
        <v>41</v>
      </c>
      <c r="G293" s="304" t="s">
        <v>548</v>
      </c>
      <c r="H293" s="285" t="s">
        <v>41</v>
      </c>
      <c r="I293" s="304"/>
      <c r="K293" s="1973"/>
      <c r="L293" s="1974"/>
      <c r="M293" s="1975"/>
      <c r="N293" s="10" t="s">
        <v>555</v>
      </c>
      <c r="P293" s="35"/>
      <c r="Q293" s="35"/>
      <c r="R293" s="35"/>
      <c r="S293"/>
      <c r="T293"/>
    </row>
    <row r="294" spans="2:20" ht="15" customHeight="1">
      <c r="B294" s="305"/>
      <c r="C294" s="305"/>
      <c r="D294" s="303" t="s">
        <v>556</v>
      </c>
      <c r="E294" s="283" t="s">
        <v>41</v>
      </c>
      <c r="F294" s="305"/>
      <c r="G294" s="306"/>
      <c r="I294" s="307"/>
      <c r="J294" s="307"/>
      <c r="K294" s="308"/>
      <c r="L294" s="308"/>
      <c r="P294" s="35"/>
      <c r="Q294" s="35"/>
      <c r="R294" s="35"/>
      <c r="S294"/>
      <c r="T294"/>
    </row>
    <row r="295" spans="2:20" ht="15" customHeight="1">
      <c r="B295" s="305"/>
      <c r="C295" s="305"/>
      <c r="D295" s="309" t="s">
        <v>557</v>
      </c>
      <c r="E295" s="305"/>
      <c r="F295" s="305"/>
      <c r="G295" s="1976" t="s">
        <v>558</v>
      </c>
      <c r="H295" s="1977"/>
      <c r="I295" s="1977"/>
      <c r="J295" s="1977"/>
      <c r="K295" s="1977"/>
      <c r="L295" s="1977"/>
      <c r="M295" s="1977"/>
      <c r="P295" s="35"/>
      <c r="Q295" s="35"/>
      <c r="R295" s="35"/>
      <c r="S295"/>
      <c r="T295"/>
    </row>
    <row r="296" spans="2:20" ht="15" customHeight="1">
      <c r="B296" s="305"/>
      <c r="C296" s="305"/>
      <c r="D296" s="309" t="s">
        <v>559</v>
      </c>
      <c r="E296" s="305"/>
      <c r="F296" s="305"/>
      <c r="G296" s="1978" t="s">
        <v>560</v>
      </c>
      <c r="H296" s="1979"/>
      <c r="I296" s="283" t="s">
        <v>41</v>
      </c>
      <c r="J296" s="307"/>
      <c r="K296" s="308"/>
      <c r="L296" s="308"/>
      <c r="P296" s="35"/>
      <c r="Q296" s="35"/>
      <c r="R296" s="35"/>
      <c r="S296"/>
      <c r="T296"/>
    </row>
    <row r="297" spans="2:20" ht="15" customHeight="1" thickBot="1">
      <c r="B297" s="305"/>
      <c r="C297" s="305"/>
      <c r="D297" s="305"/>
      <c r="E297" s="305"/>
      <c r="F297" s="305"/>
      <c r="G297" s="1978" t="s">
        <v>561</v>
      </c>
      <c r="H297" s="1979"/>
      <c r="I297" s="283" t="s">
        <v>41</v>
      </c>
      <c r="J297" s="307"/>
      <c r="K297" s="308"/>
      <c r="L297" s="308"/>
      <c r="P297" s="35"/>
      <c r="Q297" s="35"/>
      <c r="R297" s="35"/>
      <c r="S297"/>
      <c r="T297"/>
    </row>
    <row r="298" spans="2:20" ht="15" customHeight="1">
      <c r="B298" s="1980" t="s">
        <v>562</v>
      </c>
      <c r="C298" s="1981"/>
      <c r="D298" s="1981"/>
      <c r="E298" s="1981"/>
      <c r="F298" s="1981"/>
      <c r="G298" s="1981"/>
      <c r="H298" s="1981"/>
      <c r="I298" s="1981"/>
      <c r="J298" s="1981"/>
      <c r="K298" s="1981"/>
      <c r="L298" s="1981"/>
      <c r="M298" s="1982"/>
      <c r="P298" s="35"/>
      <c r="Q298" s="35"/>
      <c r="R298" s="35"/>
      <c r="S298"/>
      <c r="T298"/>
    </row>
    <row r="299" spans="2:20" ht="15" customHeight="1">
      <c r="B299" s="1964" t="s">
        <v>563</v>
      </c>
      <c r="C299" s="1965"/>
      <c r="D299" s="1965"/>
      <c r="E299" s="1965"/>
      <c r="F299" s="1965"/>
      <c r="G299" s="1965"/>
      <c r="H299" s="1965"/>
      <c r="I299" s="1965"/>
      <c r="J299" s="75"/>
      <c r="K299" s="1970"/>
      <c r="L299" s="1970"/>
      <c r="M299" s="1970"/>
      <c r="P299" s="35"/>
      <c r="Q299" s="35"/>
      <c r="R299" s="35"/>
      <c r="S299"/>
      <c r="T299"/>
    </row>
    <row r="300" spans="2:20" ht="15" customHeight="1">
      <c r="B300" s="1952" t="s">
        <v>564</v>
      </c>
      <c r="C300" s="1962"/>
      <c r="D300" s="1968" t="s">
        <v>442</v>
      </c>
      <c r="E300" s="1968"/>
      <c r="F300" s="1971" t="s">
        <v>434</v>
      </c>
      <c r="G300" s="1971"/>
      <c r="H300" s="1971" t="s">
        <v>433</v>
      </c>
      <c r="I300" s="1971"/>
      <c r="J300" s="75"/>
      <c r="K300" s="1969"/>
      <c r="L300" s="1969"/>
      <c r="M300" s="310"/>
      <c r="P300" s="35"/>
      <c r="Q300" s="35"/>
      <c r="R300" s="35"/>
      <c r="S300"/>
      <c r="T300"/>
    </row>
    <row r="301" spans="2:20" ht="15" customHeight="1">
      <c r="B301" s="1952" t="s">
        <v>565</v>
      </c>
      <c r="C301" s="1962"/>
      <c r="D301" s="1968"/>
      <c r="E301" s="1968"/>
      <c r="F301" s="1968"/>
      <c r="G301" s="1968"/>
      <c r="H301" s="1968"/>
      <c r="I301" s="1968"/>
      <c r="J301" s="75"/>
      <c r="K301" s="1969"/>
      <c r="L301" s="1969"/>
      <c r="M301" s="310"/>
      <c r="P301" s="35"/>
      <c r="Q301" s="35"/>
      <c r="R301" s="35"/>
      <c r="S301"/>
      <c r="T301"/>
    </row>
    <row r="302" spans="2:20" ht="15" customHeight="1">
      <c r="B302" s="1952" t="s">
        <v>462</v>
      </c>
      <c r="C302" s="1953"/>
      <c r="D302" s="1968"/>
      <c r="E302" s="1968"/>
      <c r="F302" s="1968"/>
      <c r="G302" s="1968"/>
      <c r="H302" s="1968"/>
      <c r="I302" s="1968"/>
      <c r="J302" s="75"/>
      <c r="K302" s="1969"/>
      <c r="L302" s="1969"/>
      <c r="M302" s="310"/>
    </row>
    <row r="303" spans="2:20" ht="15" customHeight="1">
      <c r="B303" s="1952" t="s">
        <v>169</v>
      </c>
      <c r="C303" s="1962"/>
      <c r="D303" s="1966"/>
      <c r="E303" s="1966"/>
      <c r="F303" s="1966"/>
      <c r="G303" s="1966"/>
      <c r="H303" s="1966"/>
      <c r="I303" s="1966"/>
      <c r="J303" s="75"/>
      <c r="K303" s="1967"/>
      <c r="L303" s="1967"/>
      <c r="M303" s="1967"/>
    </row>
    <row r="304" spans="2:20" ht="15" customHeight="1">
      <c r="B304" s="1964" t="s">
        <v>442</v>
      </c>
      <c r="C304" s="1965"/>
      <c r="D304" s="1965"/>
      <c r="E304" s="1965"/>
      <c r="F304" s="1965"/>
      <c r="G304" s="1965"/>
      <c r="H304" s="1965"/>
      <c r="I304" s="1965"/>
      <c r="J304" s="75"/>
      <c r="K304" s="311"/>
      <c r="L304" s="311"/>
      <c r="M304" s="311"/>
    </row>
    <row r="305" spans="2:13" ht="15" customHeight="1">
      <c r="B305" s="1952" t="s">
        <v>566</v>
      </c>
      <c r="C305" s="1953"/>
      <c r="D305" s="1952" t="s">
        <v>407</v>
      </c>
      <c r="E305" s="1953"/>
      <c r="F305" s="1952" t="s">
        <v>567</v>
      </c>
      <c r="G305" s="1962"/>
      <c r="H305" s="1962"/>
      <c r="I305" s="1953"/>
      <c r="J305" s="75"/>
      <c r="K305" s="311"/>
      <c r="L305" s="311"/>
      <c r="M305" s="311"/>
    </row>
    <row r="306" spans="2:13" ht="15" customHeight="1">
      <c r="B306" s="1962" t="s">
        <v>568</v>
      </c>
      <c r="C306" s="1962"/>
      <c r="D306" s="312"/>
      <c r="E306" s="312"/>
      <c r="F306" s="313" t="s">
        <v>569</v>
      </c>
      <c r="G306" s="313" t="s">
        <v>406</v>
      </c>
      <c r="H306" s="1963" t="s">
        <v>570</v>
      </c>
      <c r="I306" s="1963"/>
      <c r="J306" s="75"/>
      <c r="K306" s="311"/>
      <c r="L306" s="311"/>
      <c r="M306" s="311"/>
    </row>
    <row r="307" spans="2:13" ht="15" customHeight="1">
      <c r="B307" s="1950" t="s">
        <v>571</v>
      </c>
      <c r="C307" s="1951"/>
      <c r="D307" s="1950"/>
      <c r="E307" s="1951"/>
      <c r="F307" s="314"/>
      <c r="G307" s="314"/>
      <c r="H307" s="1950"/>
      <c r="I307" s="1951"/>
      <c r="J307" s="75"/>
      <c r="K307" s="311"/>
      <c r="L307" s="311"/>
      <c r="M307" s="311"/>
    </row>
    <row r="308" spans="2:13" ht="15" customHeight="1">
      <c r="B308" s="1950" t="s">
        <v>76</v>
      </c>
      <c r="C308" s="1951"/>
      <c r="D308" s="1950"/>
      <c r="E308" s="1951"/>
      <c r="F308" s="314"/>
      <c r="G308" s="314"/>
      <c r="H308" s="1950"/>
      <c r="I308" s="1951"/>
      <c r="J308" s="75"/>
      <c r="K308" s="311"/>
      <c r="L308" s="311"/>
      <c r="M308" s="311"/>
    </row>
    <row r="309" spans="2:13" ht="15" customHeight="1">
      <c r="B309" s="1950" t="s">
        <v>158</v>
      </c>
      <c r="C309" s="1951"/>
      <c r="D309" s="1950"/>
      <c r="E309" s="1951"/>
      <c r="F309" s="314"/>
      <c r="G309" s="314"/>
      <c r="H309" s="1950"/>
      <c r="I309" s="1951"/>
      <c r="J309" s="75"/>
      <c r="K309" s="311"/>
      <c r="L309" s="311"/>
      <c r="M309" s="311"/>
    </row>
    <row r="310" spans="2:13" ht="15" customHeight="1">
      <c r="B310" s="1950" t="s">
        <v>572</v>
      </c>
      <c r="C310" s="1951"/>
      <c r="D310" s="1950"/>
      <c r="E310" s="1951"/>
      <c r="F310" s="314"/>
      <c r="G310" s="314"/>
      <c r="H310" s="1950"/>
      <c r="I310" s="1951"/>
      <c r="J310" s="75"/>
      <c r="K310" s="311"/>
      <c r="L310" s="311"/>
      <c r="M310" s="311"/>
    </row>
    <row r="311" spans="2:13" ht="15" customHeight="1">
      <c r="B311" s="315"/>
      <c r="C311" s="315"/>
      <c r="D311" s="315"/>
      <c r="E311" s="315"/>
      <c r="F311" s="1952" t="s">
        <v>573</v>
      </c>
      <c r="G311" s="1953"/>
      <c r="H311" s="1950"/>
      <c r="I311" s="1951"/>
      <c r="J311" s="75"/>
      <c r="K311" s="311"/>
      <c r="L311" s="311"/>
      <c r="M311" s="311"/>
    </row>
    <row r="312" spans="2:13" ht="15" customHeight="1">
      <c r="B312" s="1964" t="s">
        <v>434</v>
      </c>
      <c r="C312" s="1965"/>
      <c r="D312" s="1965"/>
      <c r="E312" s="1965"/>
      <c r="F312" s="1965"/>
      <c r="G312" s="1965"/>
      <c r="H312" s="1965"/>
      <c r="I312" s="1965"/>
      <c r="J312" s="75"/>
      <c r="K312" s="311"/>
      <c r="L312" s="311"/>
      <c r="M312" s="311"/>
    </row>
    <row r="313" spans="2:13" ht="15" customHeight="1">
      <c r="B313" s="1952" t="s">
        <v>566</v>
      </c>
      <c r="C313" s="1953"/>
      <c r="D313" s="1952" t="s">
        <v>407</v>
      </c>
      <c r="E313" s="1953"/>
      <c r="F313" s="1952" t="s">
        <v>567</v>
      </c>
      <c r="G313" s="1962"/>
      <c r="H313" s="1962"/>
      <c r="I313" s="1953"/>
      <c r="J313" s="75"/>
      <c r="K313" s="311"/>
      <c r="L313" s="311"/>
      <c r="M313" s="311"/>
    </row>
    <row r="314" spans="2:13" ht="15" customHeight="1">
      <c r="B314" s="1962" t="s">
        <v>568</v>
      </c>
      <c r="C314" s="1962"/>
      <c r="D314" s="312"/>
      <c r="E314" s="312"/>
      <c r="F314" s="313" t="s">
        <v>569</v>
      </c>
      <c r="G314" s="313" t="s">
        <v>406</v>
      </c>
      <c r="H314" s="1963" t="s">
        <v>570</v>
      </c>
      <c r="I314" s="1963"/>
      <c r="J314" s="75"/>
      <c r="K314" s="311"/>
      <c r="L314" s="311"/>
      <c r="M314" s="311"/>
    </row>
    <row r="315" spans="2:13" ht="15" customHeight="1">
      <c r="B315" s="1950" t="s">
        <v>571</v>
      </c>
      <c r="C315" s="1951"/>
      <c r="D315" s="1950"/>
      <c r="E315" s="1951"/>
      <c r="F315" s="314"/>
      <c r="G315" s="314"/>
      <c r="H315" s="1950"/>
      <c r="I315" s="1951"/>
      <c r="J315" s="75"/>
      <c r="K315" s="311"/>
      <c r="L315" s="311"/>
      <c r="M315" s="311"/>
    </row>
    <row r="316" spans="2:13" ht="15" customHeight="1">
      <c r="B316" s="1950" t="s">
        <v>76</v>
      </c>
      <c r="C316" s="1951"/>
      <c r="D316" s="1950"/>
      <c r="E316" s="1951"/>
      <c r="F316" s="314"/>
      <c r="G316" s="314"/>
      <c r="H316" s="1950"/>
      <c r="I316" s="1951"/>
      <c r="J316" s="75"/>
      <c r="K316" s="311"/>
      <c r="L316" s="311"/>
      <c r="M316" s="311"/>
    </row>
    <row r="317" spans="2:13" ht="15" customHeight="1">
      <c r="B317" s="1950" t="s">
        <v>158</v>
      </c>
      <c r="C317" s="1951"/>
      <c r="D317" s="1950"/>
      <c r="E317" s="1951"/>
      <c r="F317" s="314"/>
      <c r="G317" s="314"/>
      <c r="H317" s="1950"/>
      <c r="I317" s="1951"/>
      <c r="J317" s="75"/>
      <c r="K317" s="311"/>
      <c r="L317" s="311"/>
      <c r="M317" s="311"/>
    </row>
    <row r="318" spans="2:13" ht="15" customHeight="1">
      <c r="B318" s="1950" t="s">
        <v>572</v>
      </c>
      <c r="C318" s="1951"/>
      <c r="D318" s="1950"/>
      <c r="E318" s="1951"/>
      <c r="F318" s="314"/>
      <c r="G318" s="314"/>
      <c r="H318" s="1950"/>
      <c r="I318" s="1951"/>
      <c r="J318" s="75"/>
      <c r="K318" s="311"/>
      <c r="L318" s="311"/>
      <c r="M318" s="311"/>
    </row>
    <row r="319" spans="2:13" ht="15" customHeight="1">
      <c r="B319" s="315"/>
      <c r="C319" s="315"/>
      <c r="D319" s="315"/>
      <c r="E319" s="315"/>
      <c r="F319" s="1952" t="s">
        <v>573</v>
      </c>
      <c r="G319" s="1953"/>
      <c r="H319" s="1950"/>
      <c r="I319" s="1951"/>
      <c r="J319" s="75"/>
      <c r="K319" s="311"/>
      <c r="L319" s="311"/>
      <c r="M319" s="311"/>
    </row>
    <row r="320" spans="2:13" ht="15" customHeight="1">
      <c r="B320" s="1964" t="s">
        <v>433</v>
      </c>
      <c r="C320" s="1965"/>
      <c r="D320" s="1965"/>
      <c r="E320" s="1965"/>
      <c r="F320" s="1965"/>
      <c r="G320" s="1965"/>
      <c r="H320" s="1965"/>
      <c r="I320" s="1965"/>
      <c r="J320" s="12"/>
      <c r="K320" s="13"/>
      <c r="L320" s="13"/>
      <c r="M320" s="75"/>
    </row>
    <row r="321" spans="2:18" ht="15" customHeight="1">
      <c r="B321" s="1952" t="s">
        <v>566</v>
      </c>
      <c r="C321" s="1953"/>
      <c r="D321" s="1952" t="s">
        <v>407</v>
      </c>
      <c r="E321" s="1953"/>
      <c r="F321" s="1952" t="s">
        <v>567</v>
      </c>
      <c r="G321" s="1962"/>
      <c r="H321" s="1962"/>
      <c r="I321" s="1953"/>
      <c r="J321" s="316"/>
      <c r="K321" s="316"/>
      <c r="L321" s="316"/>
      <c r="M321" s="316"/>
    </row>
    <row r="322" spans="2:18" ht="15" customHeight="1">
      <c r="B322" s="1962" t="s">
        <v>568</v>
      </c>
      <c r="C322" s="1962"/>
      <c r="D322" s="312"/>
      <c r="E322" s="312"/>
      <c r="F322" s="313" t="s">
        <v>569</v>
      </c>
      <c r="G322" s="313" t="s">
        <v>406</v>
      </c>
      <c r="H322" s="1963" t="s">
        <v>570</v>
      </c>
      <c r="I322" s="1963"/>
      <c r="J322" s="12"/>
      <c r="K322" s="13"/>
      <c r="L322" s="13"/>
      <c r="M322" s="75"/>
    </row>
    <row r="323" spans="2:18" ht="15" customHeight="1">
      <c r="B323" s="1950" t="s">
        <v>571</v>
      </c>
      <c r="C323" s="1951"/>
      <c r="D323" s="1950"/>
      <c r="E323" s="1951"/>
      <c r="F323" s="314"/>
      <c r="G323" s="314"/>
      <c r="H323" s="1950"/>
      <c r="I323" s="1951"/>
      <c r="J323" s="12"/>
      <c r="K323" s="13"/>
      <c r="L323" s="13"/>
      <c r="M323" s="75"/>
    </row>
    <row r="324" spans="2:18" ht="15" customHeight="1">
      <c r="B324" s="1950" t="s">
        <v>76</v>
      </c>
      <c r="C324" s="1951"/>
      <c r="D324" s="1950"/>
      <c r="E324" s="1951"/>
      <c r="F324" s="314"/>
      <c r="G324" s="314"/>
      <c r="H324" s="1950"/>
      <c r="I324" s="1951"/>
      <c r="J324" s="12"/>
      <c r="K324" s="13"/>
      <c r="L324" s="13"/>
      <c r="M324" s="75"/>
    </row>
    <row r="325" spans="2:18" ht="15" customHeight="1">
      <c r="B325" s="1950" t="s">
        <v>158</v>
      </c>
      <c r="C325" s="1951"/>
      <c r="D325" s="1950"/>
      <c r="E325" s="1951"/>
      <c r="F325" s="314"/>
      <c r="G325" s="314"/>
      <c r="H325" s="1950"/>
      <c r="I325" s="1951"/>
      <c r="J325" s="12"/>
      <c r="K325" s="13"/>
      <c r="L325" s="13"/>
      <c r="M325" s="75"/>
    </row>
    <row r="326" spans="2:18">
      <c r="B326" s="1950" t="s">
        <v>572</v>
      </c>
      <c r="C326" s="1951"/>
      <c r="D326" s="1950"/>
      <c r="E326" s="1951"/>
      <c r="F326" s="314"/>
      <c r="G326" s="314"/>
      <c r="H326" s="1950"/>
      <c r="I326" s="1951"/>
      <c r="J326" s="13"/>
      <c r="K326" s="13"/>
      <c r="L326" s="13"/>
      <c r="M326" s="75"/>
    </row>
    <row r="327" spans="2:18">
      <c r="B327" s="315"/>
      <c r="C327" s="315"/>
      <c r="D327" s="315"/>
      <c r="E327" s="315"/>
      <c r="F327" s="1952" t="s">
        <v>573</v>
      </c>
      <c r="G327" s="1953"/>
      <c r="H327" s="1950"/>
      <c r="I327" s="1951"/>
      <c r="J327" s="13"/>
      <c r="K327" s="13"/>
      <c r="L327" s="13"/>
      <c r="M327" s="75"/>
    </row>
    <row r="328" spans="2:18">
      <c r="B328" s="1954" t="s">
        <v>19</v>
      </c>
      <c r="C328" s="1955"/>
      <c r="D328" s="1955"/>
      <c r="E328" s="1955"/>
      <c r="F328" s="1955"/>
      <c r="G328" s="1955"/>
      <c r="H328" s="1955"/>
      <c r="I328" s="1955"/>
      <c r="J328" s="1955"/>
      <c r="K328" s="1955"/>
      <c r="L328" s="1955"/>
      <c r="M328" s="1956"/>
    </row>
    <row r="329" spans="2:18">
      <c r="B329" s="1960" t="s">
        <v>574</v>
      </c>
      <c r="C329" s="1961"/>
      <c r="D329" s="1961"/>
      <c r="E329" s="1961"/>
      <c r="F329" s="1961"/>
      <c r="G329" s="303"/>
      <c r="H329" s="317">
        <v>1</v>
      </c>
      <c r="I329" s="317">
        <v>2</v>
      </c>
      <c r="J329" s="317">
        <v>3</v>
      </c>
      <c r="K329" s="317">
        <v>4</v>
      </c>
      <c r="L329" s="317">
        <v>5</v>
      </c>
      <c r="M329" s="318">
        <v>6</v>
      </c>
    </row>
    <row r="330" spans="2:18">
      <c r="B330" s="1960" t="s">
        <v>77</v>
      </c>
      <c r="C330" s="1961"/>
      <c r="D330" s="1961"/>
      <c r="E330" s="1961"/>
      <c r="F330" s="1961"/>
      <c r="G330" s="319" t="s">
        <v>28</v>
      </c>
      <c r="H330" s="320"/>
      <c r="I330" s="320"/>
      <c r="J330" s="320"/>
      <c r="K330" s="320"/>
      <c r="L330" s="320"/>
      <c r="M330" s="321"/>
    </row>
    <row r="331" spans="2:18">
      <c r="B331" s="1960" t="s">
        <v>20</v>
      </c>
      <c r="C331" s="1961"/>
      <c r="D331" s="1961"/>
      <c r="E331" s="1961"/>
      <c r="F331" s="1961"/>
      <c r="G331" s="319"/>
      <c r="H331" s="322" t="s">
        <v>54</v>
      </c>
      <c r="I331" s="322" t="s">
        <v>99</v>
      </c>
      <c r="J331" s="322" t="s">
        <v>99</v>
      </c>
      <c r="K331" s="322" t="s">
        <v>54</v>
      </c>
      <c r="L331" s="322"/>
      <c r="M331" s="323"/>
      <c r="N331" s="324"/>
    </row>
    <row r="332" spans="2:18">
      <c r="B332" s="1960" t="s">
        <v>38</v>
      </c>
      <c r="C332" s="1961"/>
      <c r="D332" s="1961"/>
      <c r="E332" s="1961"/>
      <c r="F332" s="1961"/>
      <c r="G332" s="319" t="s">
        <v>31</v>
      </c>
      <c r="H332" s="320"/>
      <c r="I332" s="320"/>
      <c r="J332" s="320"/>
      <c r="K332" s="320"/>
      <c r="L332" s="320"/>
      <c r="M332" s="321"/>
      <c r="N332" s="324"/>
    </row>
    <row r="333" spans="2:18">
      <c r="B333" s="1960" t="s">
        <v>78</v>
      </c>
      <c r="C333" s="1961"/>
      <c r="D333" s="1961"/>
      <c r="E333" s="1961"/>
      <c r="F333" s="1961"/>
      <c r="G333" s="319" t="s">
        <v>31</v>
      </c>
      <c r="H333" s="320"/>
      <c r="I333" s="320"/>
      <c r="J333" s="320"/>
      <c r="K333" s="320"/>
      <c r="L333" s="320"/>
      <c r="M333" s="321"/>
      <c r="N333" s="324"/>
    </row>
    <row r="334" spans="2:18">
      <c r="B334" s="1960" t="s">
        <v>79</v>
      </c>
      <c r="C334" s="1961"/>
      <c r="D334" s="1961"/>
      <c r="E334" s="1961"/>
      <c r="F334" s="1961"/>
      <c r="G334" s="319" t="s">
        <v>80</v>
      </c>
      <c r="H334" s="320"/>
      <c r="I334" s="320"/>
      <c r="J334" s="320"/>
      <c r="K334" s="320"/>
      <c r="L334" s="320"/>
      <c r="M334" s="321"/>
      <c r="N334" s="324"/>
    </row>
    <row r="335" spans="2:18" ht="15" thickBot="1">
      <c r="B335" s="1"/>
      <c r="C335" s="1"/>
      <c r="D335" s="1"/>
      <c r="E335" s="1"/>
      <c r="F335" s="1"/>
      <c r="G335" s="1"/>
      <c r="H335" s="1"/>
      <c r="I335" s="1"/>
      <c r="J335" s="1"/>
      <c r="K335" s="1"/>
      <c r="L335" s="1"/>
      <c r="M335" s="1"/>
      <c r="N335" s="1"/>
    </row>
    <row r="336" spans="2:18" ht="18.600000000000001" thickBot="1">
      <c r="B336" s="1796" t="s">
        <v>141</v>
      </c>
      <c r="C336" s="1797"/>
      <c r="D336" s="1797"/>
      <c r="E336" s="1797"/>
      <c r="F336" s="1797"/>
      <c r="G336" s="1797"/>
      <c r="H336" s="1797"/>
      <c r="I336" s="1797"/>
      <c r="J336" s="1797"/>
      <c r="K336" s="1797"/>
      <c r="L336" s="1797"/>
      <c r="M336" s="1798"/>
      <c r="N336" s="87"/>
      <c r="O336" s="85"/>
      <c r="P336" s="85"/>
      <c r="Q336" s="85"/>
      <c r="R336" s="85"/>
    </row>
    <row r="337" spans="1:18" ht="18">
      <c r="B337" s="2869" t="s">
        <v>162</v>
      </c>
      <c r="C337" s="2870"/>
      <c r="D337" s="2870"/>
      <c r="E337" s="2870"/>
      <c r="F337" s="2870"/>
      <c r="G337" s="2870"/>
      <c r="H337" s="2870"/>
      <c r="I337" s="2870"/>
      <c r="J337" s="2870"/>
      <c r="K337" s="2870"/>
      <c r="L337" s="2870"/>
      <c r="M337" s="2871"/>
      <c r="N337" s="87"/>
      <c r="O337" s="85"/>
      <c r="P337" s="85"/>
      <c r="Q337" s="85"/>
      <c r="R337" s="85"/>
    </row>
    <row r="338" spans="1:18" ht="15" customHeight="1">
      <c r="B338" s="2872" t="s">
        <v>138</v>
      </c>
      <c r="C338" s="2873"/>
      <c r="D338" s="2873"/>
      <c r="E338" s="2873"/>
      <c r="F338" s="2873"/>
      <c r="G338" s="2873"/>
      <c r="H338" s="2874"/>
      <c r="I338" s="1012">
        <f>COUNTIF(G342:R342,"Existant")+COUNTIF(G342:R342,"Abandonné pour le projet")</f>
        <v>0</v>
      </c>
      <c r="J338" s="1805"/>
      <c r="K338" s="1806"/>
      <c r="L338" s="1806"/>
      <c r="M338" s="1807"/>
      <c r="N338" s="88"/>
      <c r="O338" s="86"/>
      <c r="P338" s="86"/>
      <c r="Q338" s="86"/>
      <c r="R338" s="65"/>
    </row>
    <row r="339" spans="1:18" ht="15" customHeight="1">
      <c r="B339" s="2875" t="s">
        <v>140</v>
      </c>
      <c r="C339" s="2876"/>
      <c r="D339" s="2876"/>
      <c r="E339" s="2876"/>
      <c r="F339" s="2876"/>
      <c r="G339" s="2876"/>
      <c r="H339" s="2877"/>
      <c r="I339" s="1012">
        <f>COUNTIF(G342:R342,"Existant")+COUNTIF(G342:R342,"Neuf")</f>
        <v>1</v>
      </c>
      <c r="J339" s="1808"/>
      <c r="K339" s="1809"/>
      <c r="L339" s="1809"/>
      <c r="M339" s="1810"/>
      <c r="N339" s="88"/>
      <c r="O339" s="86"/>
      <c r="P339" s="86"/>
      <c r="Q339" s="86"/>
      <c r="R339" s="86"/>
    </row>
    <row r="340" spans="1:18">
      <c r="B340" s="2878" t="s">
        <v>366</v>
      </c>
      <c r="C340" s="2879"/>
      <c r="D340" s="2879"/>
      <c r="E340" s="2879"/>
      <c r="F340" s="2880"/>
      <c r="G340" s="1017" t="s">
        <v>146</v>
      </c>
      <c r="H340" s="1018" t="s">
        <v>818</v>
      </c>
      <c r="I340" s="1013"/>
      <c r="J340" s="950"/>
      <c r="K340" s="950"/>
      <c r="L340" s="950"/>
      <c r="M340" s="951"/>
      <c r="N340" s="89"/>
      <c r="O340" s="81"/>
      <c r="P340" s="81"/>
      <c r="Q340" s="81"/>
      <c r="R340" s="81"/>
    </row>
    <row r="341" spans="1:18">
      <c r="B341" s="2852" t="s">
        <v>9</v>
      </c>
      <c r="C341" s="2853"/>
      <c r="D341" s="2853"/>
      <c r="E341" s="2853"/>
      <c r="F341" s="2854"/>
      <c r="G341" s="1015" t="s">
        <v>142</v>
      </c>
      <c r="H341" s="1016" t="s">
        <v>143</v>
      </c>
      <c r="I341" s="1010"/>
      <c r="J341" s="952"/>
      <c r="K341" s="952"/>
      <c r="L341" s="952"/>
      <c r="M341" s="953"/>
      <c r="N341" s="90"/>
      <c r="O341" s="66"/>
      <c r="P341" s="66"/>
      <c r="Q341" s="66"/>
      <c r="R341" s="66"/>
    </row>
    <row r="342" spans="1:18" ht="15.75" customHeight="1">
      <c r="B342" s="2855" t="s">
        <v>165</v>
      </c>
      <c r="C342" s="2856"/>
      <c r="D342" s="2856"/>
      <c r="E342" s="2856"/>
      <c r="F342" s="2857"/>
      <c r="G342" s="1011"/>
      <c r="H342" s="1014" t="s">
        <v>74</v>
      </c>
      <c r="I342" s="1011"/>
      <c r="J342" s="954"/>
      <c r="K342" s="954"/>
      <c r="L342" s="954"/>
      <c r="M342" s="955"/>
      <c r="N342" s="91"/>
      <c r="O342" s="82"/>
      <c r="P342" s="82"/>
      <c r="Q342" s="82"/>
      <c r="R342" s="82"/>
    </row>
    <row r="343" spans="1:18" ht="18" thickBot="1">
      <c r="B343" s="2858" t="s">
        <v>816</v>
      </c>
      <c r="C343" s="2859"/>
      <c r="D343" s="2859"/>
      <c r="E343" s="2859"/>
      <c r="F343" s="2859"/>
      <c r="G343" s="2859"/>
      <c r="H343" s="2859"/>
      <c r="I343" s="2859"/>
      <c r="J343" s="2859"/>
      <c r="K343" s="2859"/>
      <c r="L343" s="2859"/>
      <c r="M343" s="2860"/>
      <c r="N343" s="2198"/>
      <c r="O343" s="2198"/>
      <c r="P343" s="2198"/>
      <c r="Q343" s="2198"/>
      <c r="R343" s="2198"/>
    </row>
    <row r="344" spans="1:18">
      <c r="B344" s="2861"/>
      <c r="C344" s="2862"/>
      <c r="D344" s="2862"/>
      <c r="E344" s="2863"/>
      <c r="F344" s="998" t="s">
        <v>72</v>
      </c>
      <c r="G344" s="2864" t="s">
        <v>213</v>
      </c>
      <c r="H344" s="2865"/>
      <c r="I344" s="2865"/>
      <c r="J344" s="2865"/>
      <c r="K344" s="2865"/>
      <c r="L344" s="2865"/>
      <c r="M344" s="2866"/>
      <c r="N344" s="185"/>
      <c r="O344" s="84"/>
      <c r="P344" s="84"/>
      <c r="Q344" s="84"/>
      <c r="R344" s="84"/>
    </row>
    <row r="345" spans="1:18">
      <c r="B345" s="2867" t="s">
        <v>73</v>
      </c>
      <c r="C345" s="2868"/>
      <c r="D345" s="2868"/>
      <c r="E345" s="956" t="s">
        <v>108</v>
      </c>
      <c r="F345" s="957">
        <f>SUM(G345:M345)</f>
        <v>791</v>
      </c>
      <c r="G345" s="958">
        <v>791</v>
      </c>
      <c r="H345" s="958"/>
      <c r="I345" s="958"/>
      <c r="J345" s="958"/>
      <c r="K345" s="958"/>
      <c r="L345" s="958"/>
      <c r="M345" s="959"/>
      <c r="N345" s="92"/>
      <c r="O345" s="68"/>
      <c r="P345" s="68"/>
      <c r="Q345" s="68"/>
      <c r="R345" s="68"/>
    </row>
    <row r="346" spans="1:18" ht="15" customHeight="1">
      <c r="B346" s="2867" t="s">
        <v>814</v>
      </c>
      <c r="C346" s="2868"/>
      <c r="D346" s="2868"/>
      <c r="E346" s="956" t="s">
        <v>29</v>
      </c>
      <c r="F346" s="960"/>
      <c r="G346" s="961">
        <f>SUM(G347:G350)</f>
        <v>128.5</v>
      </c>
      <c r="H346" s="961"/>
      <c r="I346" s="961"/>
      <c r="J346" s="961"/>
      <c r="K346" s="961"/>
      <c r="L346" s="961"/>
      <c r="M346" s="962"/>
      <c r="N346" s="93"/>
      <c r="O346" s="72"/>
      <c r="P346" s="72"/>
      <c r="Q346" s="72"/>
      <c r="R346" s="72"/>
    </row>
    <row r="347" spans="1:18">
      <c r="B347" s="2884" t="s">
        <v>136</v>
      </c>
      <c r="C347" s="2885"/>
      <c r="D347" s="2885"/>
      <c r="E347" s="963" t="s">
        <v>29</v>
      </c>
      <c r="F347" s="960"/>
      <c r="G347" s="964">
        <v>122</v>
      </c>
      <c r="H347" s="964"/>
      <c r="I347" s="964"/>
      <c r="J347" s="964"/>
      <c r="K347" s="964"/>
      <c r="L347" s="964"/>
      <c r="M347" s="965"/>
      <c r="N347" s="94"/>
      <c r="O347" s="69"/>
      <c r="P347" s="69"/>
      <c r="Q347" s="69"/>
      <c r="R347" s="69"/>
    </row>
    <row r="348" spans="1:18">
      <c r="A348" s="10"/>
      <c r="B348" s="2884" t="s">
        <v>137</v>
      </c>
      <c r="C348" s="2885"/>
      <c r="D348" s="2885"/>
      <c r="E348" s="963" t="s">
        <v>29</v>
      </c>
      <c r="F348" s="960"/>
      <c r="G348" s="966">
        <v>6.5</v>
      </c>
      <c r="H348" s="966"/>
      <c r="I348" s="966"/>
      <c r="J348" s="966"/>
      <c r="K348" s="966"/>
      <c r="L348" s="966"/>
      <c r="M348" s="967"/>
      <c r="N348" s="195"/>
      <c r="O348" s="70"/>
      <c r="P348" s="70"/>
      <c r="Q348" s="70"/>
      <c r="R348" s="70"/>
    </row>
    <row r="349" spans="1:18">
      <c r="A349" s="10"/>
      <c r="B349" s="1823" t="s">
        <v>817</v>
      </c>
      <c r="C349" s="1824"/>
      <c r="D349" s="1825"/>
      <c r="E349" s="963" t="s">
        <v>29</v>
      </c>
      <c r="F349" s="960"/>
      <c r="G349" s="966"/>
      <c r="H349" s="966"/>
      <c r="I349" s="966"/>
      <c r="J349" s="966"/>
      <c r="K349" s="966"/>
      <c r="L349" s="966"/>
      <c r="M349" s="967"/>
      <c r="N349" s="195"/>
      <c r="O349" s="70"/>
      <c r="P349" s="70"/>
      <c r="Q349" s="70"/>
      <c r="R349" s="70"/>
    </row>
    <row r="350" spans="1:18">
      <c r="A350" s="10"/>
      <c r="B350" s="2884" t="s">
        <v>198</v>
      </c>
      <c r="C350" s="2885"/>
      <c r="D350" s="2885"/>
      <c r="E350" s="963" t="s">
        <v>29</v>
      </c>
      <c r="F350" s="960"/>
      <c r="G350" s="964"/>
      <c r="H350" s="964"/>
      <c r="I350" s="964"/>
      <c r="J350" s="964"/>
      <c r="K350" s="964"/>
      <c r="L350" s="964"/>
      <c r="M350" s="965"/>
      <c r="N350" s="94"/>
      <c r="O350" s="69"/>
      <c r="P350" s="69"/>
      <c r="Q350" s="69"/>
      <c r="R350" s="69"/>
    </row>
    <row r="351" spans="1:18" ht="15" customHeight="1">
      <c r="A351" s="10"/>
      <c r="B351" s="2867" t="s">
        <v>832</v>
      </c>
      <c r="C351" s="2868"/>
      <c r="D351" s="2868"/>
      <c r="E351" s="956" t="s">
        <v>53</v>
      </c>
      <c r="F351" s="960"/>
      <c r="G351" s="964"/>
      <c r="H351" s="964"/>
      <c r="I351" s="964"/>
      <c r="J351" s="964"/>
      <c r="K351" s="964"/>
      <c r="L351" s="964"/>
      <c r="M351" s="965"/>
      <c r="N351" s="94"/>
      <c r="O351" s="69"/>
      <c r="P351" s="69"/>
      <c r="Q351" s="69"/>
      <c r="R351" s="69"/>
    </row>
    <row r="352" spans="1:18" ht="15" customHeight="1">
      <c r="A352" s="10"/>
      <c r="B352" s="2884" t="s">
        <v>833</v>
      </c>
      <c r="C352" s="2885"/>
      <c r="D352" s="2885"/>
      <c r="E352" s="963" t="s">
        <v>53</v>
      </c>
      <c r="F352" s="960"/>
      <c r="G352" s="964"/>
      <c r="H352" s="964"/>
      <c r="I352" s="964"/>
      <c r="J352" s="964"/>
      <c r="K352" s="964"/>
      <c r="L352" s="964"/>
      <c r="M352" s="965"/>
      <c r="N352" s="94"/>
      <c r="O352" s="69"/>
      <c r="P352" s="69"/>
      <c r="Q352" s="69"/>
      <c r="R352" s="69"/>
    </row>
    <row r="353" spans="1:18">
      <c r="A353" s="10"/>
      <c r="B353" s="2884" t="s">
        <v>834</v>
      </c>
      <c r="C353" s="2885"/>
      <c r="D353" s="2885"/>
      <c r="E353" s="963" t="s">
        <v>53</v>
      </c>
      <c r="F353" s="960"/>
      <c r="G353" s="964"/>
      <c r="H353" s="964"/>
      <c r="I353" s="964"/>
      <c r="J353" s="964"/>
      <c r="K353" s="964"/>
      <c r="L353" s="964"/>
      <c r="M353" s="965"/>
      <c r="N353" s="94"/>
      <c r="O353" s="69"/>
      <c r="P353" s="69"/>
      <c r="Q353" s="69"/>
      <c r="R353" s="69"/>
    </row>
    <row r="354" spans="1:18" ht="15" customHeight="1">
      <c r="A354" s="10"/>
      <c r="B354" s="1823" t="s">
        <v>835</v>
      </c>
      <c r="C354" s="1824"/>
      <c r="D354" s="1825"/>
      <c r="E354" s="963" t="s">
        <v>53</v>
      </c>
      <c r="F354" s="960"/>
      <c r="G354" s="964"/>
      <c r="H354" s="964"/>
      <c r="I354" s="964"/>
      <c r="J354" s="964"/>
      <c r="K354" s="964"/>
      <c r="L354" s="964"/>
      <c r="M354" s="965"/>
      <c r="N354" s="94"/>
      <c r="O354" s="69"/>
      <c r="P354" s="69"/>
      <c r="Q354" s="69"/>
      <c r="R354" s="69"/>
    </row>
    <row r="355" spans="1:18" ht="15" customHeight="1">
      <c r="A355" s="10"/>
      <c r="B355" s="2884" t="s">
        <v>836</v>
      </c>
      <c r="C355" s="2885"/>
      <c r="D355" s="2885"/>
      <c r="E355" s="963" t="s">
        <v>53</v>
      </c>
      <c r="F355" s="960"/>
      <c r="G355" s="964"/>
      <c r="H355" s="964"/>
      <c r="I355" s="964"/>
      <c r="J355" s="964"/>
      <c r="K355" s="964"/>
      <c r="L355" s="964"/>
      <c r="M355" s="965"/>
      <c r="N355" s="94"/>
      <c r="O355" s="69"/>
      <c r="P355" s="69"/>
      <c r="Q355" s="69"/>
      <c r="R355" s="69"/>
    </row>
    <row r="356" spans="1:18">
      <c r="A356" s="1009" t="s">
        <v>822</v>
      </c>
      <c r="B356" s="1820" t="s">
        <v>820</v>
      </c>
      <c r="C356" s="1821"/>
      <c r="D356" s="1829"/>
      <c r="E356" s="1008"/>
      <c r="F356" s="960"/>
      <c r="G356" s="971"/>
      <c r="H356" s="971"/>
      <c r="I356" s="971"/>
      <c r="J356" s="971"/>
      <c r="K356" s="971"/>
      <c r="L356" s="971"/>
      <c r="M356" s="972"/>
      <c r="N356" s="96"/>
      <c r="O356" s="74"/>
      <c r="P356" s="74"/>
      <c r="Q356" s="74"/>
      <c r="R356" s="74"/>
    </row>
    <row r="357" spans="1:18">
      <c r="A357" s="1009"/>
      <c r="B357" s="1820" t="s">
        <v>821</v>
      </c>
      <c r="C357" s="1821"/>
      <c r="D357" s="1829"/>
      <c r="E357" s="1008"/>
      <c r="F357" s="960"/>
      <c r="G357" s="971"/>
      <c r="H357" s="971"/>
      <c r="I357" s="971"/>
      <c r="J357" s="971"/>
      <c r="K357" s="971"/>
      <c r="L357" s="971"/>
      <c r="M357" s="972"/>
      <c r="N357" s="96"/>
      <c r="O357" s="74"/>
      <c r="P357" s="74"/>
      <c r="Q357" s="74"/>
      <c r="R357" s="74"/>
    </row>
    <row r="358" spans="1:18" ht="31.5" customHeight="1">
      <c r="A358" s="540" t="s">
        <v>823</v>
      </c>
      <c r="B358" s="1830" t="s">
        <v>829</v>
      </c>
      <c r="C358" s="1831"/>
      <c r="D358" s="2888"/>
      <c r="E358" s="1004" t="s">
        <v>815</v>
      </c>
      <c r="F358" s="973"/>
      <c r="G358" s="974"/>
      <c r="H358" s="974"/>
      <c r="I358" s="974"/>
      <c r="J358" s="974"/>
      <c r="K358" s="974"/>
      <c r="L358" s="974"/>
      <c r="M358" s="975"/>
      <c r="N358" s="197"/>
      <c r="O358" s="83"/>
      <c r="P358" s="83"/>
      <c r="Q358" s="83"/>
      <c r="R358" s="83"/>
    </row>
    <row r="359" spans="1:18" ht="38.25" customHeight="1">
      <c r="A359" s="540" t="s">
        <v>824</v>
      </c>
      <c r="B359" s="1830" t="s">
        <v>828</v>
      </c>
      <c r="C359" s="1831"/>
      <c r="D359" s="2888"/>
      <c r="E359" s="1004"/>
      <c r="F359" s="973"/>
      <c r="G359" s="974"/>
      <c r="H359" s="974"/>
      <c r="I359" s="974"/>
      <c r="J359" s="974"/>
      <c r="K359" s="974"/>
      <c r="L359" s="974"/>
      <c r="M359" s="975"/>
      <c r="N359" s="197"/>
      <c r="O359" s="83"/>
      <c r="P359" s="83"/>
      <c r="Q359" s="83"/>
      <c r="R359" s="83"/>
    </row>
    <row r="360" spans="1:18" ht="38.25" customHeight="1">
      <c r="A360" s="540" t="s">
        <v>831</v>
      </c>
      <c r="B360" s="2889" t="s">
        <v>830</v>
      </c>
      <c r="C360" s="2890"/>
      <c r="D360" s="2891"/>
      <c r="E360" s="1004" t="s">
        <v>827</v>
      </c>
      <c r="F360" s="973"/>
      <c r="G360" s="974"/>
      <c r="H360" s="974"/>
      <c r="I360" s="974"/>
      <c r="J360" s="974"/>
      <c r="K360" s="974"/>
      <c r="L360" s="974"/>
      <c r="M360" s="975"/>
      <c r="N360" s="197"/>
      <c r="O360" s="83"/>
      <c r="P360" s="83"/>
      <c r="Q360" s="83"/>
      <c r="R360" s="83"/>
    </row>
    <row r="361" spans="1:18" ht="15" customHeight="1">
      <c r="B361" s="2886" t="s">
        <v>354</v>
      </c>
      <c r="C361" s="2887"/>
      <c r="D361" s="2887"/>
      <c r="E361" s="956" t="s">
        <v>53</v>
      </c>
      <c r="F361" s="973">
        <f>IF(SUM(G361:R361)=0,"",SUM(G361:R361))</f>
        <v>100</v>
      </c>
      <c r="G361" s="974">
        <v>100</v>
      </c>
      <c r="H361" s="974"/>
      <c r="I361" s="974"/>
      <c r="J361" s="974"/>
      <c r="K361" s="974"/>
      <c r="L361" s="974"/>
      <c r="M361" s="975"/>
      <c r="N361" s="197"/>
      <c r="O361" s="83"/>
      <c r="P361" s="83"/>
      <c r="Q361" s="83"/>
      <c r="R361" s="83"/>
    </row>
    <row r="362" spans="1:18">
      <c r="A362" s="10"/>
      <c r="B362" s="2881" t="s">
        <v>826</v>
      </c>
      <c r="C362" s="2882"/>
      <c r="D362" s="2883"/>
      <c r="E362" s="1019"/>
      <c r="F362" s="1019"/>
      <c r="G362" s="1019"/>
      <c r="H362" s="1019"/>
      <c r="I362" s="1019"/>
      <c r="J362" s="1019"/>
      <c r="K362" s="1019"/>
      <c r="L362" s="1019"/>
      <c r="M362" s="1019"/>
      <c r="N362" s="1019"/>
      <c r="O362" s="1019"/>
      <c r="P362" s="1019"/>
      <c r="Q362" s="1019"/>
      <c r="R362" s="1019"/>
    </row>
    <row r="363" spans="1:18">
      <c r="A363" s="10"/>
      <c r="B363" s="10"/>
      <c r="C363" s="10"/>
      <c r="D363" s="10"/>
      <c r="E363" s="10"/>
      <c r="F363" s="10"/>
      <c r="G363" s="10"/>
      <c r="H363" s="10"/>
      <c r="I363" s="10"/>
      <c r="J363" s="10"/>
      <c r="K363" s="10"/>
      <c r="L363" s="10"/>
      <c r="M363" s="10"/>
    </row>
    <row r="364" spans="1:18">
      <c r="A364" s="10"/>
      <c r="B364" s="10"/>
      <c r="C364" s="10"/>
      <c r="D364" s="10"/>
      <c r="E364" s="10"/>
      <c r="F364" s="10"/>
      <c r="G364" s="10"/>
      <c r="H364" s="10"/>
      <c r="I364" s="10"/>
      <c r="J364" s="10"/>
      <c r="K364" s="10"/>
      <c r="L364" s="10"/>
      <c r="M364" s="10"/>
    </row>
    <row r="365" spans="1:18">
      <c r="A365" s="10"/>
      <c r="B365" s="10"/>
      <c r="C365" s="10"/>
      <c r="D365" s="10"/>
      <c r="E365" s="10"/>
      <c r="F365" s="10"/>
      <c r="G365" s="10"/>
      <c r="H365" s="10"/>
      <c r="I365" s="10"/>
      <c r="J365" s="10"/>
      <c r="K365" s="10"/>
      <c r="L365" s="10"/>
      <c r="M365" s="10"/>
    </row>
    <row r="366" spans="1:18">
      <c r="A366" s="10"/>
      <c r="B366" s="10"/>
      <c r="C366" s="10"/>
      <c r="D366" s="10"/>
      <c r="E366" s="10"/>
      <c r="F366" s="10"/>
      <c r="G366" s="10"/>
      <c r="H366" s="10"/>
      <c r="I366" s="10"/>
      <c r="J366" s="10"/>
      <c r="K366" s="10"/>
      <c r="L366" s="10"/>
      <c r="M366" s="10"/>
    </row>
    <row r="367" spans="1:18">
      <c r="A367" s="10"/>
      <c r="B367" s="10"/>
      <c r="C367" s="10"/>
      <c r="D367" s="10"/>
      <c r="E367" s="10"/>
      <c r="F367" s="10"/>
      <c r="G367" s="10"/>
      <c r="H367" s="10"/>
      <c r="I367" s="10"/>
      <c r="J367" s="10"/>
      <c r="K367" s="10"/>
      <c r="L367" s="10"/>
      <c r="M367" s="10"/>
    </row>
    <row r="368" spans="1:18">
      <c r="A368" s="10"/>
      <c r="B368" s="10"/>
      <c r="C368" s="10"/>
      <c r="D368" s="10"/>
      <c r="E368" s="10"/>
      <c r="F368" s="10"/>
      <c r="G368" s="10"/>
      <c r="H368" s="10"/>
      <c r="I368" s="10"/>
      <c r="J368" s="10"/>
      <c r="K368" s="10"/>
      <c r="L368" s="10"/>
      <c r="M368" s="10"/>
    </row>
    <row r="369" spans="1:13">
      <c r="A369" s="10"/>
      <c r="B369" s="10"/>
      <c r="C369" s="10"/>
      <c r="D369" s="10"/>
      <c r="E369" s="10"/>
      <c r="F369" s="10"/>
      <c r="G369" s="10"/>
      <c r="H369" s="10"/>
      <c r="I369" s="10"/>
      <c r="J369" s="10"/>
      <c r="K369" s="10"/>
      <c r="L369" s="10"/>
      <c r="M369" s="10"/>
    </row>
    <row r="370" spans="1:13">
      <c r="A370" s="10"/>
      <c r="B370" s="10"/>
      <c r="C370" s="10"/>
      <c r="D370" s="10"/>
      <c r="E370" s="10"/>
      <c r="F370" s="10"/>
      <c r="G370" s="10"/>
      <c r="H370" s="10"/>
      <c r="I370" s="10"/>
      <c r="J370" s="10"/>
      <c r="K370" s="10"/>
      <c r="L370" s="10"/>
      <c r="M370" s="10"/>
    </row>
    <row r="371" spans="1:13">
      <c r="A371" s="10"/>
      <c r="B371" s="10"/>
      <c r="C371" s="10"/>
      <c r="D371" s="10"/>
      <c r="E371" s="10"/>
      <c r="F371" s="10"/>
      <c r="G371" s="10"/>
      <c r="H371" s="10"/>
      <c r="I371" s="10"/>
      <c r="J371" s="10"/>
      <c r="K371" s="10"/>
      <c r="L371" s="10"/>
      <c r="M371" s="10"/>
    </row>
    <row r="372" spans="1:13">
      <c r="A372" s="10"/>
      <c r="B372" s="10"/>
      <c r="C372" s="10"/>
      <c r="D372" s="10"/>
      <c r="E372" s="10"/>
      <c r="F372" s="10"/>
      <c r="G372" s="10"/>
      <c r="H372" s="10"/>
      <c r="I372" s="10"/>
      <c r="J372" s="10"/>
      <c r="K372" s="10"/>
      <c r="L372" s="10"/>
      <c r="M372" s="10"/>
    </row>
    <row r="373" spans="1:13">
      <c r="A373" s="10"/>
      <c r="B373" s="10"/>
      <c r="C373" s="10"/>
      <c r="D373" s="10"/>
      <c r="E373" s="10"/>
      <c r="F373" s="10"/>
      <c r="G373" s="10"/>
      <c r="H373" s="10"/>
      <c r="I373" s="10"/>
      <c r="J373" s="10"/>
      <c r="K373" s="10"/>
      <c r="L373" s="10"/>
      <c r="M373" s="10"/>
    </row>
    <row r="374" spans="1:13">
      <c r="A374" s="10"/>
      <c r="B374" s="10"/>
      <c r="C374" s="10"/>
      <c r="D374" s="10"/>
      <c r="E374" s="10"/>
      <c r="F374" s="10"/>
      <c r="G374" s="10"/>
      <c r="H374" s="10"/>
      <c r="I374" s="10"/>
      <c r="J374" s="10"/>
      <c r="K374" s="10"/>
      <c r="L374" s="10"/>
      <c r="M374" s="10"/>
    </row>
    <row r="375" spans="1:13">
      <c r="A375" s="10"/>
      <c r="B375" s="10"/>
      <c r="C375" s="10"/>
      <c r="D375" s="10"/>
      <c r="E375" s="10"/>
      <c r="F375" s="10"/>
      <c r="G375" s="10"/>
      <c r="H375" s="10"/>
      <c r="I375" s="10"/>
      <c r="J375" s="10"/>
      <c r="K375" s="10"/>
      <c r="L375" s="10"/>
      <c r="M375" s="10"/>
    </row>
    <row r="376" spans="1:13">
      <c r="A376" s="10"/>
      <c r="B376" s="10"/>
      <c r="C376" s="10"/>
      <c r="D376" s="10"/>
      <c r="E376" s="10"/>
      <c r="F376" s="10"/>
      <c r="G376" s="10"/>
      <c r="H376" s="10"/>
      <c r="I376" s="10"/>
      <c r="J376" s="10"/>
      <c r="K376" s="10"/>
      <c r="L376" s="10"/>
      <c r="M376" s="10"/>
    </row>
    <row r="377" spans="1:13">
      <c r="A377" s="10"/>
      <c r="B377" s="10"/>
      <c r="C377" s="10"/>
      <c r="D377" s="10"/>
      <c r="E377" s="10"/>
      <c r="F377" s="10"/>
      <c r="G377" s="10"/>
      <c r="H377" s="10"/>
      <c r="I377" s="10"/>
      <c r="J377" s="10"/>
      <c r="K377" s="10"/>
      <c r="L377" s="10"/>
      <c r="M377" s="10"/>
    </row>
    <row r="378" spans="1:13">
      <c r="A378" s="10"/>
      <c r="B378" s="10"/>
      <c r="C378" s="10"/>
      <c r="D378" s="10"/>
      <c r="E378" s="10"/>
      <c r="F378" s="10"/>
      <c r="G378" s="10"/>
      <c r="H378" s="10"/>
      <c r="I378" s="10"/>
      <c r="J378" s="10"/>
      <c r="K378" s="10"/>
      <c r="L378" s="10"/>
      <c r="M378" s="10"/>
    </row>
    <row r="379" spans="1:13">
      <c r="A379" s="10"/>
      <c r="B379" s="10"/>
      <c r="C379" s="10"/>
      <c r="D379" s="10"/>
      <c r="E379" s="10"/>
      <c r="F379" s="10"/>
      <c r="G379" s="10"/>
      <c r="H379" s="10"/>
      <c r="I379" s="10"/>
      <c r="J379" s="10"/>
      <c r="K379" s="10"/>
      <c r="L379" s="10"/>
      <c r="M379" s="10"/>
    </row>
    <row r="380" spans="1:13">
      <c r="A380" s="10"/>
      <c r="B380" s="10"/>
      <c r="C380" s="10"/>
      <c r="D380" s="10"/>
      <c r="E380" s="10"/>
      <c r="F380" s="10"/>
      <c r="G380" s="10"/>
      <c r="H380" s="10"/>
      <c r="I380" s="10"/>
      <c r="J380" s="10"/>
      <c r="K380" s="10"/>
      <c r="L380" s="10"/>
      <c r="M380" s="10"/>
    </row>
    <row r="381" spans="1:13">
      <c r="A381" s="10"/>
      <c r="B381" s="10"/>
      <c r="C381" s="10"/>
      <c r="D381" s="10"/>
      <c r="E381" s="10"/>
      <c r="F381" s="10"/>
      <c r="G381" s="10"/>
      <c r="H381" s="10"/>
      <c r="I381" s="10"/>
      <c r="J381" s="10"/>
      <c r="K381" s="10"/>
      <c r="L381" s="10"/>
      <c r="M381" s="10"/>
    </row>
    <row r="382" spans="1:13">
      <c r="A382" s="10"/>
      <c r="B382" s="10"/>
      <c r="C382" s="10"/>
      <c r="D382" s="10"/>
      <c r="E382" s="10"/>
      <c r="F382" s="10"/>
      <c r="G382" s="10"/>
      <c r="H382" s="10"/>
      <c r="I382" s="10"/>
      <c r="J382" s="10"/>
      <c r="K382" s="10"/>
      <c r="L382" s="10"/>
      <c r="M382" s="10"/>
    </row>
    <row r="383" spans="1:13">
      <c r="A383" s="10"/>
      <c r="B383" s="10"/>
      <c r="C383" s="10"/>
      <c r="D383" s="10"/>
      <c r="E383" s="10"/>
      <c r="F383" s="10"/>
      <c r="G383" s="10"/>
      <c r="H383" s="10"/>
      <c r="I383" s="10"/>
      <c r="J383" s="10"/>
      <c r="K383" s="10"/>
      <c r="L383" s="10"/>
      <c r="M383" s="10"/>
    </row>
    <row r="384" spans="1:13">
      <c r="A384" s="10"/>
      <c r="B384" s="10"/>
      <c r="C384" s="10"/>
      <c r="D384" s="10"/>
      <c r="E384" s="10"/>
      <c r="F384" s="10"/>
      <c r="G384" s="10"/>
      <c r="H384" s="10"/>
      <c r="I384" s="10"/>
      <c r="J384" s="10"/>
      <c r="K384" s="10"/>
      <c r="L384" s="10"/>
      <c r="M384" s="10"/>
    </row>
    <row r="385" spans="1:13">
      <c r="A385" s="10"/>
      <c r="B385" s="10"/>
      <c r="C385" s="10"/>
      <c r="D385" s="10"/>
      <c r="E385" s="10"/>
      <c r="F385" s="10"/>
      <c r="G385" s="10"/>
      <c r="H385" s="10"/>
      <c r="I385" s="10"/>
      <c r="J385" s="10"/>
      <c r="K385" s="10"/>
      <c r="L385" s="10"/>
      <c r="M385" s="10"/>
    </row>
    <row r="386" spans="1:13">
      <c r="A386" s="10"/>
      <c r="B386" s="10"/>
      <c r="C386" s="10"/>
      <c r="D386" s="10"/>
      <c r="E386" s="10"/>
      <c r="F386" s="10"/>
      <c r="G386" s="10"/>
      <c r="H386" s="10"/>
      <c r="I386" s="10"/>
      <c r="J386" s="10"/>
      <c r="K386" s="10"/>
      <c r="L386" s="10"/>
      <c r="M386" s="10"/>
    </row>
    <row r="387" spans="1:13">
      <c r="A387" s="10"/>
      <c r="B387" s="10"/>
      <c r="C387" s="10"/>
      <c r="D387" s="10"/>
      <c r="E387" s="10"/>
      <c r="F387" s="10"/>
      <c r="G387" s="10"/>
      <c r="H387" s="10"/>
      <c r="I387" s="10"/>
      <c r="J387" s="10"/>
      <c r="K387" s="10"/>
      <c r="L387" s="10"/>
      <c r="M387" s="10"/>
    </row>
    <row r="388" spans="1:13">
      <c r="A388" s="10"/>
      <c r="B388" s="10"/>
      <c r="C388" s="10"/>
      <c r="D388" s="10"/>
      <c r="E388" s="10"/>
      <c r="F388" s="10"/>
      <c r="G388" s="10"/>
      <c r="H388" s="10"/>
      <c r="I388" s="10"/>
      <c r="J388" s="10"/>
      <c r="K388" s="10"/>
      <c r="L388" s="10"/>
      <c r="M388" s="10"/>
    </row>
    <row r="389" spans="1:13">
      <c r="A389" s="10"/>
      <c r="B389" s="10"/>
      <c r="C389" s="10"/>
      <c r="D389" s="10"/>
      <c r="E389" s="10"/>
      <c r="F389" s="10"/>
      <c r="G389" s="10"/>
      <c r="H389" s="10"/>
      <c r="I389" s="10"/>
      <c r="J389" s="10"/>
      <c r="K389" s="10"/>
      <c r="L389" s="10"/>
      <c r="M389" s="10"/>
    </row>
    <row r="390" spans="1:13">
      <c r="A390" s="10"/>
      <c r="B390" s="10"/>
      <c r="C390" s="10"/>
      <c r="D390" s="10"/>
      <c r="E390" s="10"/>
      <c r="F390" s="10"/>
      <c r="G390" s="10"/>
      <c r="H390" s="10"/>
      <c r="I390" s="10"/>
      <c r="J390" s="10"/>
      <c r="K390" s="10"/>
      <c r="L390" s="10"/>
      <c r="M390" s="10"/>
    </row>
    <row r="391" spans="1:13">
      <c r="A391" s="10"/>
      <c r="B391" s="10"/>
      <c r="C391" s="10"/>
      <c r="D391" s="10"/>
      <c r="E391" s="10"/>
      <c r="F391" s="10"/>
      <c r="G391" s="10"/>
      <c r="H391" s="10"/>
      <c r="I391" s="10"/>
      <c r="J391" s="10"/>
      <c r="K391" s="10"/>
      <c r="L391" s="10"/>
      <c r="M391" s="10"/>
    </row>
    <row r="392" spans="1:13">
      <c r="A392" s="10"/>
      <c r="B392" s="10"/>
      <c r="C392" s="10"/>
      <c r="D392" s="10"/>
      <c r="E392" s="10"/>
      <c r="F392" s="10"/>
      <c r="G392" s="10"/>
      <c r="H392" s="10"/>
      <c r="I392" s="10"/>
      <c r="J392" s="10"/>
      <c r="K392" s="10"/>
      <c r="L392" s="10"/>
      <c r="M392" s="10"/>
    </row>
    <row r="393" spans="1:13">
      <c r="A393" s="10"/>
      <c r="B393" s="10"/>
      <c r="C393" s="10"/>
      <c r="D393" s="10"/>
      <c r="E393" s="10"/>
      <c r="F393" s="10"/>
      <c r="G393" s="10"/>
      <c r="H393" s="10"/>
      <c r="I393" s="10"/>
      <c r="J393" s="10"/>
      <c r="K393" s="10"/>
      <c r="L393" s="10"/>
      <c r="M393" s="10"/>
    </row>
    <row r="394" spans="1:13">
      <c r="A394" s="10"/>
      <c r="B394" s="10"/>
      <c r="C394" s="10"/>
      <c r="D394" s="10"/>
      <c r="E394" s="10"/>
      <c r="F394" s="10"/>
      <c r="G394" s="10"/>
      <c r="H394" s="10"/>
      <c r="I394" s="10"/>
      <c r="J394" s="10"/>
      <c r="K394" s="10"/>
      <c r="L394" s="10"/>
      <c r="M394" s="10"/>
    </row>
    <row r="395" spans="1:13">
      <c r="A395" s="10"/>
      <c r="B395" s="10"/>
      <c r="C395" s="10"/>
      <c r="D395" s="10"/>
      <c r="E395" s="10"/>
      <c r="F395" s="10"/>
      <c r="G395" s="10"/>
      <c r="H395" s="10"/>
      <c r="I395" s="10"/>
      <c r="J395" s="10"/>
      <c r="K395" s="10"/>
      <c r="L395" s="10"/>
      <c r="M395" s="10"/>
    </row>
    <row r="396" spans="1:13">
      <c r="A396" s="10"/>
      <c r="B396" s="10"/>
      <c r="C396" s="10"/>
      <c r="D396" s="10"/>
      <c r="E396" s="10"/>
      <c r="F396" s="10"/>
      <c r="G396" s="10"/>
      <c r="H396" s="10"/>
      <c r="I396" s="10"/>
      <c r="J396" s="10"/>
      <c r="K396" s="10"/>
      <c r="L396" s="10"/>
      <c r="M396" s="10"/>
    </row>
    <row r="397" spans="1:13">
      <c r="A397" s="10"/>
      <c r="B397" s="10"/>
      <c r="C397" s="10"/>
      <c r="D397" s="10"/>
      <c r="E397" s="10"/>
      <c r="F397" s="10"/>
      <c r="G397" s="10"/>
      <c r="H397" s="10"/>
      <c r="I397" s="10"/>
      <c r="J397" s="10"/>
      <c r="K397" s="10"/>
      <c r="L397" s="10"/>
      <c r="M397" s="10"/>
    </row>
    <row r="398" spans="1:13">
      <c r="A398" s="10"/>
      <c r="B398" s="10"/>
      <c r="C398" s="10"/>
      <c r="D398" s="10"/>
      <c r="E398" s="10"/>
      <c r="F398" s="10"/>
      <c r="G398" s="10"/>
      <c r="H398" s="10"/>
      <c r="I398" s="10"/>
      <c r="J398" s="10"/>
      <c r="K398" s="10"/>
      <c r="L398" s="10"/>
      <c r="M398" s="10"/>
    </row>
    <row r="399" spans="1:13">
      <c r="A399" s="10"/>
      <c r="B399" s="10"/>
      <c r="C399" s="10"/>
      <c r="D399" s="10"/>
      <c r="E399" s="10"/>
      <c r="F399" s="10"/>
      <c r="G399" s="10"/>
      <c r="H399" s="10"/>
      <c r="I399" s="10"/>
      <c r="J399" s="10"/>
      <c r="K399" s="10"/>
      <c r="L399" s="10"/>
      <c r="M399" s="10"/>
    </row>
    <row r="400" spans="1:13">
      <c r="A400" s="10"/>
      <c r="B400" s="10"/>
      <c r="C400" s="10"/>
      <c r="D400" s="10"/>
      <c r="E400" s="10"/>
      <c r="F400" s="10"/>
      <c r="G400" s="10"/>
      <c r="H400" s="10"/>
      <c r="I400" s="10"/>
      <c r="J400" s="10"/>
      <c r="K400" s="10"/>
      <c r="L400" s="10"/>
      <c r="M400" s="10"/>
    </row>
    <row r="401" spans="1:15">
      <c r="A401" s="4"/>
      <c r="B401" s="4"/>
      <c r="C401" s="4"/>
      <c r="D401" s="4"/>
      <c r="E401" s="4"/>
      <c r="F401" s="4"/>
      <c r="G401" s="4"/>
      <c r="H401" s="4"/>
      <c r="I401" s="4"/>
      <c r="J401" s="4"/>
      <c r="K401" s="4"/>
      <c r="L401" s="4"/>
      <c r="M401" s="4"/>
      <c r="N401" s="4"/>
      <c r="O401" s="4"/>
    </row>
    <row r="402" spans="1:15">
      <c r="A402" s="4"/>
      <c r="B402" s="4"/>
      <c r="C402" s="4"/>
      <c r="D402" s="4"/>
      <c r="E402" s="4"/>
      <c r="F402" s="4"/>
      <c r="G402" s="4"/>
      <c r="H402" s="4"/>
      <c r="I402" s="4"/>
      <c r="J402" s="4"/>
      <c r="K402" s="4"/>
      <c r="L402" s="4"/>
      <c r="M402" s="4"/>
      <c r="N402" s="4"/>
      <c r="O402" s="4"/>
    </row>
    <row r="403" spans="1:15">
      <c r="A403" s="4"/>
      <c r="B403" s="4"/>
      <c r="C403" s="4"/>
      <c r="D403" s="4"/>
      <c r="E403" s="4"/>
      <c r="F403" s="4"/>
      <c r="G403" s="4"/>
      <c r="H403" s="4"/>
      <c r="I403" s="4"/>
      <c r="J403" s="4"/>
      <c r="K403" s="4"/>
      <c r="L403" s="4"/>
      <c r="M403" s="4"/>
      <c r="N403" s="4"/>
      <c r="O403" s="4"/>
    </row>
    <row r="404" spans="1:15">
      <c r="A404" s="4"/>
      <c r="B404" s="4"/>
      <c r="C404" s="4"/>
      <c r="D404" s="4"/>
      <c r="E404" s="4"/>
      <c r="F404" s="4"/>
      <c r="G404" s="4"/>
      <c r="H404" s="4"/>
      <c r="I404" s="4"/>
      <c r="J404" s="4"/>
      <c r="K404" s="4"/>
      <c r="L404" s="4"/>
      <c r="M404" s="4"/>
      <c r="N404" s="4"/>
      <c r="O404" s="4"/>
    </row>
    <row r="405" spans="1:15">
      <c r="B405" s="10"/>
      <c r="C405" s="10"/>
      <c r="D405" s="10"/>
      <c r="E405" s="10"/>
      <c r="F405" s="10"/>
      <c r="G405" s="10"/>
      <c r="H405" s="10"/>
      <c r="I405" s="10"/>
      <c r="J405" s="10"/>
      <c r="K405" s="10"/>
      <c r="L405" s="10"/>
      <c r="M405" s="10"/>
    </row>
    <row r="406" spans="1:15" ht="15" thickBot="1">
      <c r="B406" s="10"/>
      <c r="C406" s="10"/>
      <c r="D406" s="10"/>
      <c r="E406" s="10"/>
      <c r="F406" s="10"/>
      <c r="G406" s="10"/>
      <c r="H406" s="10"/>
      <c r="I406" s="10"/>
      <c r="J406" s="10"/>
      <c r="K406" s="10"/>
      <c r="L406" s="10"/>
      <c r="M406" s="10"/>
    </row>
    <row r="407" spans="1:15" ht="18.600000000000001" thickBot="1">
      <c r="B407" s="1796" t="s">
        <v>363</v>
      </c>
      <c r="C407" s="1797"/>
      <c r="D407" s="1797"/>
      <c r="E407" s="1797"/>
      <c r="F407" s="1797"/>
      <c r="G407" s="1797"/>
      <c r="H407" s="1797"/>
      <c r="I407" s="1797"/>
      <c r="J407" s="1797"/>
      <c r="K407" s="1797"/>
      <c r="L407" s="1797"/>
      <c r="M407" s="1798"/>
    </row>
    <row r="408" spans="1:15" ht="18" thickBot="1">
      <c r="B408" s="900"/>
      <c r="C408" s="901"/>
      <c r="D408" s="901"/>
      <c r="E408" s="901"/>
      <c r="F408" s="901"/>
      <c r="G408" s="901"/>
      <c r="H408" s="902" t="s">
        <v>55</v>
      </c>
      <c r="I408" s="1888" t="s">
        <v>197</v>
      </c>
      <c r="J408" s="1888"/>
      <c r="K408" s="1888" t="s">
        <v>334</v>
      </c>
      <c r="L408" s="1888"/>
      <c r="M408" s="1889"/>
    </row>
    <row r="409" spans="1:15" ht="18" thickBot="1">
      <c r="B409" s="1869" t="s">
        <v>60</v>
      </c>
      <c r="C409" s="1870"/>
      <c r="D409" s="1870"/>
      <c r="E409" s="1870"/>
      <c r="F409" s="1870"/>
      <c r="G409" s="1870"/>
      <c r="H409" s="1870"/>
      <c r="I409" s="1870"/>
      <c r="J409" s="1870"/>
      <c r="K409" s="1870"/>
      <c r="L409" s="1870"/>
      <c r="M409" s="1871"/>
    </row>
    <row r="410" spans="1:15">
      <c r="B410" s="1890" t="s">
        <v>48</v>
      </c>
      <c r="C410" s="1891"/>
      <c r="D410" s="1891"/>
      <c r="E410" s="1891"/>
      <c r="F410" s="1891"/>
      <c r="G410" s="1892"/>
      <c r="H410" s="903"/>
      <c r="I410" s="1875"/>
      <c r="J410" s="1875"/>
      <c r="K410" s="1893"/>
      <c r="L410" s="1893"/>
      <c r="M410" s="1894"/>
    </row>
    <row r="411" spans="1:15">
      <c r="B411" s="1895" t="s">
        <v>49</v>
      </c>
      <c r="C411" s="1896"/>
      <c r="D411" s="1896"/>
      <c r="E411" s="1896"/>
      <c r="F411" s="1896"/>
      <c r="G411" s="1897"/>
      <c r="H411" s="907"/>
      <c r="I411" s="1898"/>
      <c r="J411" s="1898"/>
      <c r="K411" s="1899"/>
      <c r="L411" s="1899"/>
      <c r="M411" s="1900"/>
    </row>
    <row r="412" spans="1:15">
      <c r="B412" s="1878" t="s">
        <v>47</v>
      </c>
      <c r="C412" s="1879"/>
      <c r="D412" s="1879"/>
      <c r="E412" s="1879"/>
      <c r="F412" s="1879"/>
      <c r="G412" s="1880"/>
      <c r="H412" s="908"/>
      <c r="I412" s="1864"/>
      <c r="J412" s="1864"/>
      <c r="K412" s="1881" t="str">
        <f>IF(H412="Qualibois",IF(#REF!&gt;70, "Qualibois correspond si P &lt; 70 kW","Ok"),"")</f>
        <v/>
      </c>
      <c r="L412" s="1881"/>
      <c r="M412" s="1882"/>
    </row>
    <row r="413" spans="1:15" ht="15" thickBot="1">
      <c r="B413" s="1846" t="s">
        <v>50</v>
      </c>
      <c r="C413" s="1847"/>
      <c r="D413" s="1847"/>
      <c r="E413" s="1847"/>
      <c r="F413" s="1847"/>
      <c r="G413" s="1848"/>
      <c r="H413" s="909"/>
      <c r="I413" s="1883"/>
      <c r="J413" s="1883"/>
      <c r="K413" s="1884"/>
      <c r="L413" s="1884"/>
      <c r="M413" s="1885"/>
    </row>
    <row r="414" spans="1:15" ht="18" thickBot="1">
      <c r="B414" s="1869" t="s">
        <v>51</v>
      </c>
      <c r="C414" s="1870"/>
      <c r="D414" s="1870"/>
      <c r="E414" s="1870"/>
      <c r="F414" s="1870"/>
      <c r="G414" s="1870"/>
      <c r="H414" s="1870"/>
      <c r="I414" s="1870"/>
      <c r="J414" s="1870"/>
      <c r="K414" s="1870"/>
      <c r="L414" s="1870"/>
      <c r="M414" s="1871"/>
    </row>
    <row r="415" spans="1:15">
      <c r="B415" s="1872" t="s">
        <v>52</v>
      </c>
      <c r="C415" s="1873"/>
      <c r="D415" s="1873"/>
      <c r="E415" s="1873"/>
      <c r="F415" s="1873"/>
      <c r="G415" s="1874"/>
      <c r="H415" s="912"/>
      <c r="I415" s="1875"/>
      <c r="J415" s="1875"/>
      <c r="K415" s="1886" t="str">
        <f>IF(H415&lt;85%, "Le rendement doit être supérieur à 85%","")</f>
        <v>Le rendement doit être supérieur à 85%</v>
      </c>
      <c r="L415" s="1886"/>
      <c r="M415" s="1887"/>
    </row>
    <row r="416" spans="1:15">
      <c r="B416" s="1861" t="s">
        <v>56</v>
      </c>
      <c r="C416" s="1862"/>
      <c r="D416" s="1862"/>
      <c r="E416" s="1862"/>
      <c r="F416" s="1862"/>
      <c r="G416" s="1863"/>
      <c r="H416" s="913">
        <v>650</v>
      </c>
      <c r="I416" s="1864"/>
      <c r="J416" s="1864"/>
      <c r="K416" s="1844" t="str">
        <f>IF(H416&gt;12000," Ce projet doit être déposé dans AAP","")</f>
        <v/>
      </c>
      <c r="L416" s="1844"/>
      <c r="M416" s="1845"/>
    </row>
    <row r="417" spans="2:13" ht="15" thickBot="1">
      <c r="B417" s="1865" t="s">
        <v>57</v>
      </c>
      <c r="C417" s="1866"/>
      <c r="D417" s="1866"/>
      <c r="E417" s="1866"/>
      <c r="F417" s="1866"/>
      <c r="G417" s="1867"/>
      <c r="H417" s="914"/>
      <c r="I417" s="1868"/>
      <c r="J417" s="1868"/>
      <c r="K417" s="1850" t="str">
        <f>IF(H417="non","Le suivi doit être prévu","")</f>
        <v/>
      </c>
      <c r="L417" s="1850"/>
      <c r="M417" s="1851"/>
    </row>
    <row r="418" spans="2:13" ht="18" thickBot="1">
      <c r="B418" s="1869" t="s">
        <v>58</v>
      </c>
      <c r="C418" s="1870"/>
      <c r="D418" s="1870"/>
      <c r="E418" s="1870"/>
      <c r="F418" s="1870"/>
      <c r="G418" s="1870"/>
      <c r="H418" s="1870"/>
      <c r="I418" s="1870"/>
      <c r="J418" s="1870"/>
      <c r="K418" s="1870"/>
      <c r="L418" s="1870"/>
      <c r="M418" s="1871"/>
    </row>
    <row r="419" spans="2:13">
      <c r="B419" s="1872" t="s">
        <v>59</v>
      </c>
      <c r="C419" s="1873"/>
      <c r="D419" s="1873"/>
      <c r="E419" s="1873"/>
      <c r="F419" s="1873"/>
      <c r="G419" s="1874"/>
      <c r="H419" s="903"/>
      <c r="I419" s="1875"/>
      <c r="J419" s="1875"/>
      <c r="K419" s="1876">
        <f>IF(H419="non", 45,30)</f>
        <v>30</v>
      </c>
      <c r="L419" s="1876"/>
      <c r="M419" s="1877"/>
    </row>
    <row r="420" spans="2:13">
      <c r="B420" s="1840" t="s">
        <v>101</v>
      </c>
      <c r="C420" s="1841"/>
      <c r="D420" s="1841"/>
      <c r="E420" s="1841"/>
      <c r="F420" s="1841"/>
      <c r="G420" s="1842"/>
      <c r="H420" s="919" t="e">
        <f>IF(H419="non", IF(I420&lt;45, "oui", "non"), IF(I420&lt;30, "oui"," non"))</f>
        <v>#REF!</v>
      </c>
      <c r="I420" s="1843" t="e">
        <f>#REF!</f>
        <v>#REF!</v>
      </c>
      <c r="J420" s="1843"/>
      <c r="K420" s="1844" t="e">
        <f>IF(H420="non","Critère non respecté","")</f>
        <v>#REF!</v>
      </c>
      <c r="L420" s="1844"/>
      <c r="M420" s="1845"/>
    </row>
    <row r="421" spans="2:13" ht="15" thickBot="1">
      <c r="B421" s="1846" t="s">
        <v>61</v>
      </c>
      <c r="C421" s="1847"/>
      <c r="D421" s="1847"/>
      <c r="E421" s="1847"/>
      <c r="F421" s="1847"/>
      <c r="G421" s="1848"/>
      <c r="H421" s="920" t="e">
        <f>IF(H419="oui",IF(I421&lt;300, "oui", "non"),IF(#REF!&lt;5000,IF(I421&lt;=500, "oui", "non"),IF(I421&lt;300, "oui", "non")))</f>
        <v>#REF!</v>
      </c>
      <c r="I421" s="1849">
        <v>450</v>
      </c>
      <c r="J421" s="1849"/>
      <c r="K421" s="1850" t="e">
        <f>IF(H421="non","Critère non respecté","")</f>
        <v>#REF!</v>
      </c>
      <c r="L421" s="1850"/>
      <c r="M421" s="1851"/>
    </row>
    <row r="422" spans="2:13" ht="18" thickBot="1">
      <c r="B422" s="1852" t="s">
        <v>62</v>
      </c>
      <c r="C422" s="1853"/>
      <c r="D422" s="1853"/>
      <c r="E422" s="1853"/>
      <c r="F422" s="1853"/>
      <c r="G422" s="1853"/>
      <c r="H422" s="1853"/>
      <c r="I422" s="1853"/>
      <c r="J422" s="1853"/>
      <c r="K422" s="1853"/>
      <c r="L422" s="1853"/>
      <c r="M422" s="1854"/>
    </row>
    <row r="423" spans="2:13" ht="15" thickBot="1">
      <c r="B423" s="1855" t="str">
        <f>IF(ISBLANK(#REF!),"","13% de bois certifiés dans la part de consommation C1+C2?")</f>
        <v>13% de bois certifiés dans la part de consommation C1+C2?</v>
      </c>
      <c r="C423" s="1856"/>
      <c r="D423" s="1856"/>
      <c r="E423" s="1856"/>
      <c r="F423" s="1856"/>
      <c r="G423" s="1857"/>
      <c r="H423" s="922"/>
      <c r="I423" s="1858"/>
      <c r="J423" s="1858"/>
      <c r="K423" s="1859" t="str">
        <f>IF(H423="non","Critère non respecté","")</f>
        <v/>
      </c>
      <c r="L423" s="1859"/>
      <c r="M423" s="1860"/>
    </row>
    <row r="424" spans="2:13">
      <c r="B424" s="11"/>
      <c r="C424" s="11"/>
      <c r="D424" s="11"/>
      <c r="E424" s="11"/>
      <c r="F424" s="11"/>
      <c r="G424" s="11"/>
      <c r="H424" s="7"/>
      <c r="I424" s="7"/>
      <c r="J424" s="7"/>
      <c r="K424" s="7"/>
      <c r="L424" s="1"/>
      <c r="M424" s="1"/>
    </row>
    <row r="425" spans="2:13">
      <c r="B425" s="11"/>
      <c r="C425" s="11"/>
      <c r="D425" s="11"/>
      <c r="E425" s="11"/>
      <c r="F425" s="11"/>
      <c r="G425" s="11"/>
      <c r="H425" s="7"/>
      <c r="I425" s="7"/>
      <c r="J425" s="7"/>
      <c r="K425" s="7"/>
      <c r="L425" s="1"/>
      <c r="M425" s="1"/>
    </row>
    <row r="426" spans="2:13" ht="15" thickBot="1">
      <c r="B426" s="11"/>
      <c r="C426" s="11"/>
      <c r="D426" s="11"/>
      <c r="E426" s="11"/>
      <c r="F426" s="11"/>
      <c r="G426" s="11"/>
      <c r="H426" s="7"/>
      <c r="I426" s="7"/>
      <c r="J426" s="7"/>
      <c r="K426" s="7"/>
      <c r="L426" s="1"/>
      <c r="M426" s="1"/>
    </row>
    <row r="427" spans="2:13" ht="18.600000000000001" thickBot="1">
      <c r="B427" s="1796" t="s">
        <v>364</v>
      </c>
      <c r="C427" s="1797"/>
      <c r="D427" s="1797"/>
      <c r="E427" s="1797"/>
      <c r="F427" s="1797"/>
      <c r="G427" s="1797"/>
      <c r="H427" s="1797"/>
      <c r="I427" s="1797"/>
      <c r="J427" s="1797"/>
      <c r="K427" s="1797"/>
      <c r="L427" s="1797"/>
      <c r="M427" s="1798"/>
    </row>
    <row r="428" spans="2:13" ht="18" thickBot="1">
      <c r="B428" s="1833" t="s">
        <v>63</v>
      </c>
      <c r="C428" s="1834"/>
      <c r="D428" s="1834"/>
      <c r="E428" s="923" t="s">
        <v>64</v>
      </c>
      <c r="F428" s="923" t="s">
        <v>103</v>
      </c>
      <c r="G428" s="923" t="s">
        <v>207</v>
      </c>
      <c r="H428" s="1835" t="s">
        <v>342</v>
      </c>
      <c r="I428" s="1836"/>
      <c r="J428" s="1836"/>
      <c r="K428" s="1836"/>
      <c r="L428" s="1836"/>
      <c r="M428" s="1837"/>
    </row>
    <row r="429" spans="2:13" ht="15" thickBot="1">
      <c r="B429" s="1838" t="s">
        <v>102</v>
      </c>
      <c r="C429" s="1838"/>
      <c r="D429" s="1839"/>
      <c r="E429" s="924">
        <v>0</v>
      </c>
      <c r="F429" s="925" t="e">
        <f t="shared" ref="F429:F436" si="0">E429/$E$211</f>
        <v>#DIV/0!</v>
      </c>
      <c r="G429" s="926" t="s">
        <v>209</v>
      </c>
      <c r="H429" s="927"/>
      <c r="I429" s="927"/>
      <c r="J429" s="927"/>
      <c r="K429" s="927"/>
      <c r="L429" s="927"/>
      <c r="M429" s="928"/>
    </row>
    <row r="430" spans="2:13" ht="15" thickBot="1">
      <c r="B430" s="1838" t="s">
        <v>65</v>
      </c>
      <c r="C430" s="1838"/>
      <c r="D430" s="1839"/>
      <c r="E430" s="929">
        <f>SUM(E431:E435)</f>
        <v>0</v>
      </c>
      <c r="F430" s="925" t="e">
        <f t="shared" si="0"/>
        <v>#DIV/0!</v>
      </c>
      <c r="G430" s="926"/>
      <c r="H430" s="930"/>
      <c r="I430" s="930"/>
      <c r="J430" s="930"/>
      <c r="K430" s="930"/>
      <c r="L430" s="930"/>
      <c r="M430" s="931"/>
    </row>
    <row r="431" spans="2:13">
      <c r="B431" s="1788" t="s">
        <v>68</v>
      </c>
      <c r="C431" s="1788"/>
      <c r="D431" s="1789"/>
      <c r="E431" s="932">
        <f>G_subventionADEME</f>
        <v>0</v>
      </c>
      <c r="F431" s="925" t="e">
        <f t="shared" si="0"/>
        <v>#DIV/0!</v>
      </c>
      <c r="G431" s="926"/>
      <c r="H431" s="930"/>
      <c r="I431" s="930"/>
      <c r="J431" s="930"/>
      <c r="K431" s="930"/>
      <c r="L431" s="930"/>
      <c r="M431" s="931"/>
    </row>
    <row r="432" spans="2:13">
      <c r="B432" s="1788" t="s">
        <v>66</v>
      </c>
      <c r="C432" s="1788"/>
      <c r="D432" s="1789"/>
      <c r="E432" s="933">
        <v>0</v>
      </c>
      <c r="F432" s="925" t="e">
        <f t="shared" si="0"/>
        <v>#DIV/0!</v>
      </c>
      <c r="G432" s="926"/>
      <c r="H432" s="930"/>
      <c r="I432" s="930"/>
      <c r="J432" s="930"/>
      <c r="K432" s="930"/>
      <c r="L432" s="930"/>
      <c r="M432" s="931"/>
    </row>
    <row r="433" spans="1:13">
      <c r="B433" s="1788" t="s">
        <v>69</v>
      </c>
      <c r="C433" s="1788"/>
      <c r="D433" s="1789"/>
      <c r="E433" s="933">
        <v>0</v>
      </c>
      <c r="F433" s="925" t="e">
        <f t="shared" si="0"/>
        <v>#DIV/0!</v>
      </c>
      <c r="G433" s="926"/>
      <c r="H433" s="930"/>
      <c r="I433" s="930"/>
      <c r="J433" s="930"/>
      <c r="K433" s="930"/>
      <c r="L433" s="930"/>
      <c r="M433" s="931"/>
    </row>
    <row r="434" spans="1:13">
      <c r="B434" s="1788" t="s">
        <v>70</v>
      </c>
      <c r="C434" s="1788"/>
      <c r="D434" s="1789"/>
      <c r="E434" s="933">
        <v>0</v>
      </c>
      <c r="F434" s="925" t="e">
        <f t="shared" si="0"/>
        <v>#DIV/0!</v>
      </c>
      <c r="G434" s="926"/>
      <c r="H434" s="930"/>
      <c r="I434" s="930"/>
      <c r="J434" s="930"/>
      <c r="K434" s="930"/>
      <c r="L434" s="930"/>
      <c r="M434" s="931"/>
    </row>
    <row r="435" spans="1:13" ht="15" thickBot="1">
      <c r="B435" s="1788" t="s">
        <v>67</v>
      </c>
      <c r="C435" s="1788"/>
      <c r="D435" s="1789"/>
      <c r="E435" s="934">
        <v>0</v>
      </c>
      <c r="F435" s="925" t="e">
        <f t="shared" si="0"/>
        <v>#DIV/0!</v>
      </c>
      <c r="G435" s="926"/>
      <c r="H435" s="930"/>
      <c r="I435" s="930"/>
      <c r="J435" s="930"/>
      <c r="K435" s="930"/>
      <c r="L435" s="930"/>
      <c r="M435" s="931"/>
    </row>
    <row r="436" spans="1:13" ht="15" thickBot="1">
      <c r="B436" s="1790" t="s">
        <v>71</v>
      </c>
      <c r="C436" s="1790"/>
      <c r="D436" s="1791"/>
      <c r="E436" s="935">
        <v>0</v>
      </c>
      <c r="F436" s="936" t="e">
        <f t="shared" si="0"/>
        <v>#DIV/0!</v>
      </c>
      <c r="G436" s="937"/>
      <c r="H436" s="930"/>
      <c r="I436" s="930"/>
      <c r="J436" s="930"/>
      <c r="K436" s="930"/>
      <c r="L436" s="930"/>
      <c r="M436" s="931"/>
    </row>
    <row r="437" spans="1:13" ht="15" thickBot="1">
      <c r="B437" s="1792" t="s">
        <v>810</v>
      </c>
      <c r="C437" s="1793"/>
      <c r="D437" s="1793"/>
      <c r="E437" s="929">
        <f>SUM(E429:E429,E430,E436)</f>
        <v>0</v>
      </c>
      <c r="F437" s="1794" t="e">
        <f>IF(E437&lt;&gt;#REF!,"Vous n'avez pas le même investissement dans le tableau 4"," RAS")</f>
        <v>#REF!</v>
      </c>
      <c r="G437" s="1794"/>
      <c r="H437" s="1794"/>
      <c r="I437" s="1794"/>
      <c r="J437" s="1794"/>
      <c r="K437" s="1794"/>
      <c r="L437" s="1794"/>
      <c r="M437" s="1795"/>
    </row>
    <row r="438" spans="1:13">
      <c r="A438" s="10"/>
      <c r="B438" s="10"/>
      <c r="C438" s="10"/>
      <c r="D438" s="10"/>
      <c r="E438" s="10"/>
      <c r="F438" s="10"/>
      <c r="G438" s="10"/>
      <c r="H438" s="10"/>
      <c r="I438" s="10"/>
      <c r="J438" s="10"/>
      <c r="K438" s="10"/>
      <c r="L438" s="10"/>
      <c r="M438" s="10"/>
    </row>
    <row r="439" spans="1:13">
      <c r="A439" s="10"/>
      <c r="B439" s="10"/>
      <c r="C439" s="10"/>
      <c r="D439" s="10"/>
      <c r="E439" s="10"/>
      <c r="F439" s="10"/>
      <c r="G439" s="10"/>
      <c r="H439" s="10"/>
      <c r="I439" s="10"/>
      <c r="J439" s="10"/>
      <c r="K439" s="10"/>
      <c r="L439" s="10"/>
      <c r="M439" s="10"/>
    </row>
    <row r="440" spans="1:13">
      <c r="A440" s="10"/>
      <c r="B440" s="10"/>
      <c r="C440" s="10"/>
      <c r="D440" s="10"/>
      <c r="E440" s="10"/>
      <c r="F440" s="10"/>
      <c r="G440" s="10"/>
      <c r="H440" s="10"/>
      <c r="I440" s="10"/>
      <c r="J440" s="10"/>
      <c r="K440" s="10"/>
      <c r="L440" s="10"/>
      <c r="M440" s="10"/>
    </row>
    <row r="441" spans="1:13">
      <c r="A441" s="10"/>
      <c r="B441" s="10"/>
      <c r="C441" s="10"/>
      <c r="D441" s="10"/>
      <c r="E441" s="10"/>
      <c r="F441" s="10"/>
      <c r="G441" s="10"/>
      <c r="H441" s="10"/>
      <c r="I441" s="10"/>
      <c r="J441" s="10"/>
      <c r="K441" s="10"/>
      <c r="L441" s="10"/>
      <c r="M441" s="10"/>
    </row>
    <row r="442" spans="1:13">
      <c r="A442" s="10"/>
      <c r="B442" s="10"/>
      <c r="C442" s="10"/>
      <c r="D442" s="10"/>
      <c r="E442" s="10"/>
      <c r="F442" s="10"/>
      <c r="G442" s="10"/>
      <c r="H442" s="10"/>
      <c r="I442" s="10"/>
      <c r="J442" s="10"/>
      <c r="K442" s="10"/>
      <c r="L442" s="10"/>
      <c r="M442" s="10"/>
    </row>
    <row r="443" spans="1:13">
      <c r="A443" s="10"/>
      <c r="B443" s="10"/>
      <c r="C443" s="10"/>
      <c r="D443" s="10"/>
      <c r="E443" s="10"/>
      <c r="F443" s="10"/>
      <c r="G443" s="10"/>
      <c r="H443" s="10"/>
      <c r="I443" s="10"/>
      <c r="J443" s="10"/>
      <c r="K443" s="10"/>
      <c r="L443" s="10"/>
      <c r="M443" s="10"/>
    </row>
    <row r="444" spans="1:13">
      <c r="A444" s="10"/>
      <c r="B444" s="10"/>
      <c r="C444" s="10"/>
      <c r="D444" s="10"/>
      <c r="E444" s="10"/>
      <c r="F444" s="10"/>
      <c r="G444" s="10"/>
      <c r="H444" s="10"/>
      <c r="I444" s="10"/>
      <c r="J444" s="10"/>
      <c r="K444" s="10"/>
      <c r="L444" s="10"/>
      <c r="M444" s="10"/>
    </row>
    <row r="445" spans="1:13">
      <c r="B445" s="10"/>
      <c r="C445" s="10"/>
      <c r="D445" s="10"/>
      <c r="E445" s="10"/>
      <c r="F445" s="10"/>
      <c r="G445" s="10"/>
      <c r="H445" s="10"/>
      <c r="I445" s="10"/>
      <c r="J445" s="10"/>
      <c r="K445" s="10"/>
      <c r="L445" s="10"/>
      <c r="M445" s="10"/>
    </row>
    <row r="446" spans="1:13">
      <c r="B446" s="10"/>
      <c r="C446" s="10"/>
      <c r="D446" s="10"/>
      <c r="E446" s="10"/>
      <c r="F446" s="10"/>
      <c r="G446" s="10"/>
      <c r="H446" s="10"/>
      <c r="I446" s="10"/>
      <c r="J446" s="10"/>
      <c r="K446" s="10"/>
      <c r="L446" s="10"/>
      <c r="M446" s="10"/>
    </row>
    <row r="447" spans="1:13">
      <c r="B447" s="10"/>
      <c r="C447" s="10"/>
      <c r="D447" s="10"/>
      <c r="E447" s="10"/>
      <c r="F447" s="10"/>
      <c r="G447" s="10"/>
      <c r="H447" s="10"/>
      <c r="I447" s="10"/>
      <c r="J447" s="10"/>
      <c r="K447" s="10"/>
      <c r="L447" s="10"/>
      <c r="M447" s="10"/>
    </row>
    <row r="448" spans="1:13">
      <c r="B448" s="10"/>
      <c r="C448" s="10"/>
      <c r="D448" s="10"/>
      <c r="E448" s="10"/>
      <c r="F448" s="10"/>
      <c r="G448" s="10"/>
      <c r="H448" s="10"/>
      <c r="I448" s="10"/>
      <c r="J448" s="10"/>
      <c r="K448" s="10"/>
      <c r="L448" s="10"/>
      <c r="M448" s="10"/>
    </row>
    <row r="449" spans="2:13">
      <c r="B449" s="10"/>
      <c r="C449" s="10"/>
      <c r="D449" s="10"/>
      <c r="E449" s="10"/>
      <c r="F449" s="10"/>
      <c r="G449" s="10"/>
      <c r="H449" s="10"/>
      <c r="I449" s="10"/>
      <c r="J449" s="10"/>
      <c r="K449" s="10"/>
      <c r="L449" s="10"/>
      <c r="M449" s="10"/>
    </row>
    <row r="450" spans="2:13">
      <c r="B450" s="10"/>
      <c r="C450" s="10"/>
      <c r="D450" s="10"/>
      <c r="E450" s="10"/>
      <c r="F450" s="10"/>
      <c r="G450" s="10"/>
      <c r="H450" s="10"/>
      <c r="I450" s="10"/>
      <c r="J450" s="10"/>
      <c r="K450" s="10"/>
      <c r="L450" s="10"/>
      <c r="M450" s="10"/>
    </row>
    <row r="451" spans="2:13">
      <c r="B451" s="10"/>
      <c r="C451" s="10"/>
      <c r="D451" s="10"/>
      <c r="E451" s="10"/>
      <c r="F451" s="10"/>
      <c r="G451" s="10"/>
      <c r="H451" s="10"/>
      <c r="I451" s="10"/>
      <c r="J451" s="10"/>
      <c r="K451" s="10"/>
      <c r="L451" s="10"/>
      <c r="M451" s="10"/>
    </row>
    <row r="452" spans="2:13">
      <c r="B452" s="10"/>
      <c r="C452" s="10"/>
      <c r="D452" s="10"/>
      <c r="E452" s="10"/>
      <c r="F452" s="10"/>
      <c r="G452" s="10"/>
      <c r="H452" s="10"/>
      <c r="I452" s="10"/>
      <c r="J452" s="10"/>
      <c r="K452" s="10"/>
      <c r="L452" s="10"/>
      <c r="M452" s="10"/>
    </row>
    <row r="453" spans="2:13">
      <c r="B453" s="10"/>
      <c r="C453" s="10"/>
      <c r="D453" s="10"/>
      <c r="E453" s="10"/>
      <c r="F453" s="10"/>
      <c r="G453" s="10"/>
      <c r="H453" s="10"/>
      <c r="I453" s="10"/>
      <c r="J453" s="10"/>
      <c r="K453" s="10"/>
      <c r="L453" s="10"/>
      <c r="M453" s="10"/>
    </row>
    <row r="454" spans="2:13">
      <c r="B454" s="10"/>
      <c r="C454" s="10"/>
      <c r="D454" s="10"/>
      <c r="E454" s="10"/>
      <c r="F454" s="10"/>
      <c r="G454" s="10"/>
      <c r="H454" s="10"/>
      <c r="I454" s="10"/>
      <c r="J454" s="10"/>
      <c r="K454" s="10"/>
      <c r="L454" s="10"/>
      <c r="M454" s="10"/>
    </row>
    <row r="455" spans="2:13">
      <c r="B455" s="10"/>
      <c r="C455" s="10"/>
      <c r="D455" s="10"/>
      <c r="E455" s="10"/>
      <c r="F455" s="10"/>
      <c r="G455" s="10"/>
      <c r="H455" s="10"/>
      <c r="I455" s="10"/>
      <c r="J455" s="10"/>
      <c r="K455" s="10"/>
      <c r="L455" s="10"/>
      <c r="M455" s="10"/>
    </row>
    <row r="456" spans="2:13">
      <c r="B456" s="10"/>
      <c r="C456" s="10"/>
      <c r="D456" s="10"/>
      <c r="E456" s="10"/>
      <c r="F456" s="10"/>
      <c r="G456" s="10"/>
      <c r="H456" s="10"/>
      <c r="I456" s="10"/>
      <c r="J456" s="10"/>
      <c r="K456" s="10"/>
      <c r="L456" s="10"/>
      <c r="M456" s="10"/>
    </row>
    <row r="457" spans="2:13">
      <c r="B457" s="10"/>
      <c r="C457" s="10"/>
      <c r="D457" s="10"/>
      <c r="E457" s="10"/>
      <c r="F457" s="10"/>
      <c r="G457" s="10"/>
      <c r="H457" s="10"/>
      <c r="I457" s="10"/>
      <c r="J457" s="10"/>
      <c r="K457" s="10"/>
      <c r="L457" s="10"/>
      <c r="M457" s="10"/>
    </row>
    <row r="458" spans="2:13">
      <c r="B458" s="10"/>
      <c r="C458" s="10"/>
      <c r="D458" s="10"/>
      <c r="E458" s="10"/>
      <c r="F458" s="10"/>
      <c r="G458" s="10"/>
      <c r="H458" s="10"/>
      <c r="I458" s="10"/>
      <c r="J458" s="10"/>
      <c r="K458" s="10"/>
      <c r="L458" s="10"/>
      <c r="M458" s="10"/>
    </row>
    <row r="459" spans="2:13">
      <c r="B459" s="10"/>
      <c r="C459" s="10"/>
      <c r="D459" s="10"/>
      <c r="E459" s="10"/>
      <c r="F459" s="10"/>
      <c r="G459" s="10"/>
      <c r="H459" s="10"/>
      <c r="I459" s="10"/>
      <c r="J459" s="10"/>
      <c r="K459" s="10"/>
      <c r="L459" s="10"/>
      <c r="M459" s="10"/>
    </row>
    <row r="460" spans="2:13">
      <c r="B460" s="10"/>
      <c r="C460" s="10"/>
      <c r="D460" s="10"/>
      <c r="E460" s="10"/>
      <c r="F460" s="10"/>
      <c r="G460" s="10"/>
      <c r="H460" s="10"/>
      <c r="I460" s="10"/>
      <c r="J460" s="10"/>
      <c r="K460" s="10"/>
      <c r="L460" s="10"/>
      <c r="M460" s="10"/>
    </row>
    <row r="461" spans="2:13">
      <c r="B461" s="10"/>
      <c r="C461" s="10"/>
      <c r="D461" s="10"/>
      <c r="E461" s="10"/>
      <c r="F461" s="10"/>
      <c r="G461" s="10"/>
      <c r="H461" s="10"/>
      <c r="I461" s="10"/>
      <c r="J461" s="10"/>
      <c r="K461" s="10"/>
      <c r="L461" s="10"/>
      <c r="M461" s="10"/>
    </row>
    <row r="462" spans="2:13">
      <c r="B462" s="10"/>
      <c r="C462" s="10"/>
      <c r="D462" s="10"/>
      <c r="E462" s="10"/>
      <c r="F462" s="10"/>
      <c r="G462" s="10"/>
      <c r="H462" s="10"/>
      <c r="I462" s="10"/>
      <c r="J462" s="10"/>
      <c r="K462" s="10"/>
      <c r="L462" s="10"/>
      <c r="M462" s="10"/>
    </row>
    <row r="463" spans="2:13">
      <c r="B463" s="10"/>
      <c r="C463" s="10"/>
      <c r="D463" s="10"/>
      <c r="E463" s="10"/>
      <c r="F463" s="10"/>
      <c r="G463" s="10"/>
      <c r="H463" s="10"/>
      <c r="I463" s="10"/>
      <c r="J463" s="10"/>
      <c r="K463" s="10"/>
      <c r="L463" s="10"/>
      <c r="M463" s="10"/>
    </row>
    <row r="464" spans="2:13">
      <c r="B464" s="10"/>
      <c r="C464" s="10"/>
      <c r="D464" s="10"/>
      <c r="E464" s="10"/>
      <c r="F464" s="10"/>
      <c r="G464" s="10"/>
      <c r="H464" s="10"/>
      <c r="I464" s="10"/>
      <c r="J464" s="10"/>
      <c r="K464" s="10"/>
      <c r="L464" s="10"/>
      <c r="M464" s="10"/>
    </row>
    <row r="465" spans="2:13">
      <c r="B465" s="10"/>
      <c r="C465" s="10"/>
      <c r="D465" s="10"/>
      <c r="E465" s="10"/>
      <c r="F465" s="10"/>
      <c r="G465" s="10"/>
      <c r="H465" s="10"/>
      <c r="I465" s="10"/>
      <c r="J465" s="10"/>
      <c r="K465" s="10"/>
      <c r="L465" s="10"/>
      <c r="M465" s="10"/>
    </row>
    <row r="466" spans="2:13">
      <c r="B466" s="10"/>
      <c r="C466" s="10"/>
      <c r="D466" s="10"/>
      <c r="E466" s="10"/>
      <c r="F466" s="10"/>
      <c r="G466" s="10"/>
      <c r="H466" s="10"/>
      <c r="I466" s="10"/>
      <c r="J466" s="10"/>
      <c r="K466" s="10"/>
      <c r="L466" s="10"/>
      <c r="M466" s="10"/>
    </row>
    <row r="467" spans="2:13">
      <c r="B467" s="10"/>
      <c r="C467" s="10"/>
      <c r="D467" s="10"/>
      <c r="E467" s="10"/>
      <c r="F467" s="10"/>
      <c r="G467" s="10"/>
      <c r="H467" s="10"/>
      <c r="I467" s="10"/>
      <c r="J467" s="10"/>
      <c r="K467" s="10"/>
      <c r="L467" s="10"/>
      <c r="M467" s="10"/>
    </row>
    <row r="468" spans="2:13">
      <c r="B468" s="10"/>
      <c r="C468" s="10"/>
      <c r="D468" s="10"/>
      <c r="E468" s="10"/>
      <c r="F468" s="10"/>
      <c r="G468" s="10"/>
      <c r="H468" s="10"/>
      <c r="I468" s="10"/>
      <c r="J468" s="10"/>
      <c r="K468" s="10"/>
      <c r="L468" s="10"/>
      <c r="M468" s="10"/>
    </row>
    <row r="469" spans="2:13">
      <c r="B469" s="10"/>
      <c r="C469" s="10"/>
      <c r="D469" s="10"/>
      <c r="E469" s="10"/>
      <c r="F469" s="10"/>
      <c r="G469" s="10"/>
      <c r="H469" s="10"/>
      <c r="I469" s="10"/>
      <c r="J469" s="10"/>
      <c r="K469" s="10"/>
      <c r="L469" s="10"/>
      <c r="M469" s="10"/>
    </row>
    <row r="470" spans="2:13">
      <c r="B470" s="10"/>
      <c r="C470" s="10"/>
      <c r="D470" s="10"/>
      <c r="E470" s="10"/>
      <c r="F470" s="10"/>
      <c r="G470" s="10"/>
      <c r="H470" s="10"/>
      <c r="I470" s="10"/>
      <c r="J470" s="10"/>
      <c r="K470" s="10"/>
      <c r="L470" s="10"/>
      <c r="M470" s="10"/>
    </row>
    <row r="471" spans="2:13">
      <c r="B471" s="10"/>
      <c r="C471" s="10"/>
      <c r="D471" s="10"/>
      <c r="E471" s="10"/>
      <c r="F471" s="10"/>
      <c r="G471" s="10"/>
      <c r="H471" s="10"/>
      <c r="I471" s="10"/>
      <c r="J471" s="10"/>
      <c r="K471" s="10"/>
      <c r="L471" s="10"/>
      <c r="M471" s="10"/>
    </row>
    <row r="472" spans="2:13">
      <c r="B472" s="10"/>
      <c r="C472" s="10"/>
      <c r="D472" s="10"/>
      <c r="E472" s="10"/>
      <c r="F472" s="10"/>
      <c r="G472" s="10"/>
      <c r="H472" s="10"/>
      <c r="I472" s="10"/>
      <c r="J472" s="10"/>
      <c r="K472" s="10"/>
      <c r="L472" s="10"/>
      <c r="M472" s="10"/>
    </row>
    <row r="473" spans="2:13">
      <c r="B473" s="10"/>
      <c r="C473" s="10"/>
      <c r="D473" s="10"/>
      <c r="E473" s="10"/>
      <c r="F473" s="10"/>
      <c r="G473" s="10"/>
      <c r="H473" s="10"/>
      <c r="I473" s="10"/>
      <c r="J473" s="10"/>
      <c r="K473" s="10"/>
      <c r="L473" s="10"/>
      <c r="M473" s="10"/>
    </row>
    <row r="474" spans="2:13">
      <c r="B474" s="10"/>
      <c r="C474" s="10"/>
      <c r="D474" s="10"/>
      <c r="E474" s="10"/>
      <c r="F474" s="10"/>
      <c r="G474" s="10"/>
      <c r="H474" s="10"/>
      <c r="I474" s="10"/>
      <c r="J474" s="10"/>
      <c r="K474" s="10"/>
      <c r="L474" s="10"/>
      <c r="M474" s="10"/>
    </row>
    <row r="475" spans="2:13">
      <c r="B475" s="10"/>
      <c r="C475" s="10"/>
      <c r="D475" s="10"/>
      <c r="E475" s="10"/>
      <c r="F475" s="10"/>
      <c r="G475" s="10"/>
      <c r="H475" s="10"/>
      <c r="I475" s="10"/>
      <c r="J475" s="10"/>
      <c r="K475" s="10"/>
      <c r="L475" s="10"/>
      <c r="M475" s="10"/>
    </row>
    <row r="476" spans="2:13">
      <c r="B476" s="10"/>
      <c r="C476" s="10"/>
      <c r="D476" s="10"/>
      <c r="E476" s="10"/>
      <c r="F476" s="10"/>
      <c r="G476" s="10"/>
      <c r="H476" s="10"/>
      <c r="I476" s="10"/>
      <c r="J476" s="10"/>
      <c r="K476" s="10"/>
      <c r="L476" s="10"/>
      <c r="M476" s="10"/>
    </row>
    <row r="477" spans="2:13">
      <c r="B477" s="10"/>
      <c r="C477" s="10"/>
      <c r="D477" s="10"/>
      <c r="E477" s="10"/>
      <c r="F477" s="10"/>
      <c r="G477" s="10"/>
      <c r="H477" s="10"/>
      <c r="I477" s="10"/>
      <c r="J477" s="10"/>
      <c r="K477" s="10"/>
      <c r="L477" s="10"/>
      <c r="M477" s="10"/>
    </row>
    <row r="478" spans="2:13">
      <c r="B478" s="10"/>
      <c r="C478" s="10"/>
      <c r="D478" s="10"/>
      <c r="E478" s="10"/>
      <c r="F478" s="10"/>
      <c r="G478" s="10"/>
      <c r="H478" s="10"/>
      <c r="I478" s="10"/>
      <c r="J478" s="10"/>
      <c r="K478" s="10"/>
      <c r="L478" s="10"/>
      <c r="M478" s="10"/>
    </row>
    <row r="479" spans="2:13">
      <c r="B479" s="10"/>
      <c r="C479" s="10"/>
      <c r="D479" s="10"/>
      <c r="E479" s="10"/>
      <c r="F479" s="10"/>
      <c r="G479" s="10"/>
      <c r="H479" s="10"/>
      <c r="I479" s="10"/>
      <c r="J479" s="10"/>
      <c r="K479" s="10"/>
      <c r="L479" s="10"/>
      <c r="M479" s="10"/>
    </row>
    <row r="480" spans="2:13">
      <c r="B480" s="10"/>
      <c r="C480" s="10"/>
      <c r="D480" s="10"/>
      <c r="E480" s="10"/>
      <c r="F480" s="10"/>
      <c r="G480" s="10"/>
      <c r="H480" s="10"/>
      <c r="I480" s="10"/>
      <c r="J480" s="10"/>
      <c r="K480" s="10"/>
      <c r="L480" s="10"/>
      <c r="M480" s="10"/>
    </row>
    <row r="481" spans="2:13">
      <c r="B481" s="10"/>
      <c r="C481" s="10"/>
      <c r="D481" s="10"/>
      <c r="E481" s="10"/>
      <c r="F481" s="10"/>
      <c r="G481" s="10"/>
      <c r="H481" s="10"/>
      <c r="I481" s="10"/>
      <c r="J481" s="10"/>
      <c r="K481" s="10"/>
      <c r="L481" s="10"/>
      <c r="M481" s="10"/>
    </row>
    <row r="482" spans="2:13">
      <c r="B482" s="10"/>
      <c r="C482" s="10"/>
      <c r="D482" s="10"/>
      <c r="E482" s="10"/>
      <c r="F482" s="10"/>
      <c r="G482" s="10"/>
      <c r="H482" s="10"/>
      <c r="I482" s="10"/>
      <c r="J482" s="10"/>
      <c r="K482" s="10"/>
      <c r="L482" s="10"/>
      <c r="M482" s="10"/>
    </row>
    <row r="483" spans="2:13">
      <c r="B483" s="10"/>
      <c r="C483" s="10"/>
      <c r="D483" s="10"/>
      <c r="E483" s="10"/>
      <c r="F483" s="10"/>
      <c r="G483" s="10"/>
      <c r="H483" s="10"/>
      <c r="I483" s="10"/>
      <c r="J483" s="10"/>
      <c r="K483" s="10"/>
      <c r="L483" s="10"/>
      <c r="M483" s="10"/>
    </row>
    <row r="484" spans="2:13">
      <c r="B484" s="10"/>
      <c r="C484" s="10"/>
      <c r="D484" s="10"/>
      <c r="E484" s="10"/>
      <c r="F484" s="10"/>
      <c r="G484" s="10"/>
      <c r="H484" s="10"/>
      <c r="I484" s="10"/>
      <c r="J484" s="10"/>
      <c r="K484" s="10"/>
      <c r="L484" s="10"/>
      <c r="M484" s="10"/>
    </row>
    <row r="485" spans="2:13">
      <c r="B485" s="10"/>
      <c r="C485" s="10"/>
      <c r="D485" s="10"/>
      <c r="E485" s="10"/>
      <c r="F485" s="10"/>
      <c r="G485" s="10"/>
      <c r="H485" s="10"/>
      <c r="I485" s="10"/>
      <c r="J485" s="10"/>
      <c r="K485" s="10"/>
      <c r="L485" s="10"/>
      <c r="M485" s="10"/>
    </row>
    <row r="486" spans="2:13">
      <c r="B486" s="10"/>
      <c r="C486" s="10"/>
      <c r="D486" s="10"/>
      <c r="E486" s="10"/>
      <c r="F486" s="10"/>
      <c r="G486" s="10"/>
      <c r="H486" s="10"/>
      <c r="I486" s="10"/>
      <c r="J486" s="10"/>
      <c r="K486" s="10"/>
      <c r="L486" s="10"/>
      <c r="M486" s="10"/>
    </row>
    <row r="487" spans="2:13">
      <c r="B487" s="10"/>
      <c r="C487" s="10"/>
      <c r="D487" s="10"/>
      <c r="E487" s="10"/>
      <c r="F487" s="10"/>
      <c r="G487" s="10"/>
      <c r="H487" s="10"/>
      <c r="I487" s="10"/>
      <c r="J487" s="10"/>
      <c r="K487" s="10"/>
      <c r="L487" s="10"/>
      <c r="M487" s="10"/>
    </row>
    <row r="488" spans="2:13">
      <c r="B488" s="10"/>
      <c r="C488" s="10"/>
      <c r="D488" s="10"/>
      <c r="E488" s="10"/>
      <c r="F488" s="10"/>
      <c r="G488" s="10"/>
      <c r="H488" s="10"/>
      <c r="I488" s="10"/>
      <c r="J488" s="10"/>
      <c r="K488" s="10"/>
      <c r="L488" s="10"/>
      <c r="M488" s="10"/>
    </row>
    <row r="489" spans="2:13">
      <c r="B489" s="10"/>
      <c r="C489" s="10"/>
      <c r="D489" s="10"/>
      <c r="E489" s="10"/>
      <c r="F489" s="10"/>
      <c r="G489" s="10"/>
      <c r="H489" s="10"/>
      <c r="I489" s="10"/>
      <c r="J489" s="10"/>
      <c r="K489" s="10"/>
      <c r="L489" s="10"/>
      <c r="M489" s="10"/>
    </row>
    <row r="490" spans="2:13">
      <c r="B490" s="10"/>
      <c r="C490" s="10"/>
      <c r="D490" s="10"/>
      <c r="E490" s="10"/>
      <c r="F490" s="10"/>
      <c r="G490" s="10"/>
      <c r="H490" s="10"/>
      <c r="I490" s="10"/>
      <c r="J490" s="10"/>
      <c r="K490" s="10"/>
      <c r="L490" s="10"/>
      <c r="M490" s="10"/>
    </row>
    <row r="491" spans="2:13">
      <c r="B491" s="10"/>
      <c r="C491" s="10"/>
      <c r="D491" s="10"/>
      <c r="E491" s="10"/>
      <c r="F491" s="10"/>
      <c r="G491" s="10"/>
      <c r="H491" s="10"/>
      <c r="I491" s="10"/>
      <c r="J491" s="10"/>
      <c r="K491" s="10"/>
      <c r="L491" s="10"/>
      <c r="M491" s="10"/>
    </row>
    <row r="492" spans="2:13">
      <c r="B492" s="10"/>
      <c r="C492" s="10"/>
      <c r="D492" s="10"/>
      <c r="E492" s="10"/>
      <c r="F492" s="10"/>
      <c r="G492" s="10"/>
      <c r="H492" s="10"/>
      <c r="I492" s="10"/>
      <c r="J492" s="10"/>
      <c r="K492" s="10"/>
      <c r="L492" s="10"/>
      <c r="M492" s="10"/>
    </row>
    <row r="493" spans="2:13">
      <c r="B493" s="10"/>
      <c r="C493" s="10"/>
      <c r="D493" s="10"/>
      <c r="E493" s="10"/>
      <c r="F493" s="10"/>
      <c r="G493" s="10"/>
      <c r="H493" s="10"/>
      <c r="I493" s="10"/>
      <c r="J493" s="10"/>
      <c r="K493" s="10"/>
      <c r="L493" s="10"/>
      <c r="M493" s="10"/>
    </row>
    <row r="494" spans="2:13">
      <c r="B494" s="10"/>
      <c r="C494" s="10"/>
      <c r="D494" s="10"/>
      <c r="E494" s="10"/>
      <c r="F494" s="10"/>
      <c r="G494" s="10"/>
      <c r="H494" s="10"/>
      <c r="I494" s="10"/>
      <c r="J494" s="10"/>
      <c r="K494" s="10"/>
      <c r="L494" s="10"/>
      <c r="M494" s="10"/>
    </row>
    <row r="495" spans="2:13">
      <c r="B495" s="10"/>
      <c r="C495" s="10"/>
      <c r="D495" s="10"/>
      <c r="E495" s="10"/>
      <c r="F495" s="10"/>
      <c r="G495" s="10"/>
      <c r="H495" s="10"/>
      <c r="I495" s="10"/>
      <c r="J495" s="10"/>
      <c r="K495" s="10"/>
      <c r="L495" s="10"/>
      <c r="M495" s="10"/>
    </row>
    <row r="496" spans="2:13">
      <c r="B496" s="10"/>
      <c r="C496" s="10"/>
      <c r="D496" s="10"/>
      <c r="E496" s="10"/>
      <c r="F496" s="10"/>
      <c r="G496" s="10"/>
      <c r="H496" s="10"/>
      <c r="I496" s="10"/>
      <c r="J496" s="10"/>
      <c r="K496" s="10"/>
      <c r="L496" s="10"/>
      <c r="M496" s="10"/>
    </row>
    <row r="497" spans="2:13">
      <c r="B497" s="10"/>
      <c r="C497" s="10"/>
      <c r="D497" s="10"/>
      <c r="E497" s="10"/>
      <c r="F497" s="10"/>
      <c r="G497" s="10"/>
      <c r="H497" s="10"/>
      <c r="I497" s="10"/>
      <c r="J497" s="10"/>
      <c r="K497" s="10"/>
      <c r="L497" s="10"/>
      <c r="M497" s="10"/>
    </row>
    <row r="498" spans="2:13">
      <c r="B498" s="10"/>
      <c r="C498" s="10"/>
      <c r="D498" s="10"/>
      <c r="E498" s="10"/>
      <c r="F498" s="10"/>
      <c r="G498" s="10"/>
      <c r="H498" s="10"/>
      <c r="I498" s="10"/>
      <c r="J498" s="10"/>
      <c r="K498" s="10"/>
      <c r="L498" s="10"/>
      <c r="M498" s="10"/>
    </row>
    <row r="499" spans="2:13">
      <c r="B499" s="10"/>
      <c r="C499" s="10"/>
      <c r="D499" s="10"/>
      <c r="E499" s="10"/>
      <c r="F499" s="10"/>
      <c r="G499" s="10"/>
      <c r="H499" s="10"/>
      <c r="I499" s="10"/>
      <c r="J499" s="10"/>
      <c r="K499" s="10"/>
      <c r="L499" s="10"/>
      <c r="M499" s="10"/>
    </row>
    <row r="500" spans="2:13">
      <c r="B500" s="10"/>
      <c r="C500" s="10"/>
      <c r="D500" s="10"/>
      <c r="E500" s="10"/>
      <c r="F500" s="10"/>
      <c r="G500" s="10"/>
      <c r="H500" s="10"/>
      <c r="I500" s="10"/>
      <c r="J500" s="10"/>
      <c r="K500" s="10"/>
      <c r="L500" s="10"/>
      <c r="M500" s="10"/>
    </row>
    <row r="501" spans="2:13">
      <c r="B501" s="10"/>
      <c r="C501" s="10"/>
      <c r="D501" s="10"/>
      <c r="E501" s="10"/>
      <c r="F501" s="10"/>
      <c r="G501" s="10"/>
      <c r="H501" s="10"/>
      <c r="I501" s="10"/>
      <c r="J501" s="10"/>
      <c r="K501" s="10"/>
      <c r="L501" s="10"/>
      <c r="M501" s="10"/>
    </row>
    <row r="502" spans="2:13">
      <c r="B502" s="10"/>
      <c r="C502" s="10"/>
      <c r="D502" s="10"/>
      <c r="E502" s="10"/>
      <c r="F502" s="10"/>
      <c r="G502" s="10"/>
      <c r="H502" s="10"/>
      <c r="I502" s="10"/>
      <c r="J502" s="10"/>
      <c r="K502" s="10"/>
      <c r="L502" s="10"/>
      <c r="M502" s="10"/>
    </row>
    <row r="503" spans="2:13">
      <c r="B503" s="10"/>
      <c r="C503" s="10"/>
      <c r="D503" s="10"/>
      <c r="E503" s="10"/>
      <c r="F503" s="10"/>
      <c r="G503" s="10"/>
      <c r="H503" s="10"/>
      <c r="I503" s="10"/>
      <c r="J503" s="10"/>
      <c r="K503" s="10"/>
      <c r="L503" s="10"/>
      <c r="M503" s="10"/>
    </row>
  </sheetData>
  <mergeCells count="413">
    <mergeCell ref="B435:D435"/>
    <mergeCell ref="B436:D436"/>
    <mergeCell ref="B437:D437"/>
    <mergeCell ref="F437:M437"/>
    <mergeCell ref="B418:M418"/>
    <mergeCell ref="B419:G419"/>
    <mergeCell ref="I419:J419"/>
    <mergeCell ref="K419:M419"/>
    <mergeCell ref="B414:M414"/>
    <mergeCell ref="B415:G415"/>
    <mergeCell ref="I415:J415"/>
    <mergeCell ref="K415:M415"/>
    <mergeCell ref="B416:G416"/>
    <mergeCell ref="I416:J416"/>
    <mergeCell ref="K416:M416"/>
    <mergeCell ref="N343:R343"/>
    <mergeCell ref="B429:D429"/>
    <mergeCell ref="B430:D430"/>
    <mergeCell ref="B431:D431"/>
    <mergeCell ref="B432:D432"/>
    <mergeCell ref="B433:D433"/>
    <mergeCell ref="B434:D434"/>
    <mergeCell ref="B422:M422"/>
    <mergeCell ref="B423:G423"/>
    <mergeCell ref="I423:J423"/>
    <mergeCell ref="K423:M423"/>
    <mergeCell ref="B427:M427"/>
    <mergeCell ref="B428:D428"/>
    <mergeCell ref="H428:M428"/>
    <mergeCell ref="B420:G420"/>
    <mergeCell ref="I420:J420"/>
    <mergeCell ref="K420:M420"/>
    <mergeCell ref="B421:G421"/>
    <mergeCell ref="I421:J421"/>
    <mergeCell ref="K421:M421"/>
    <mergeCell ref="B417:G417"/>
    <mergeCell ref="I417:J417"/>
    <mergeCell ref="K417:M417"/>
    <mergeCell ref="B359:D359"/>
    <mergeCell ref="I413:J413"/>
    <mergeCell ref="K413:M413"/>
    <mergeCell ref="B409:M409"/>
    <mergeCell ref="B410:G410"/>
    <mergeCell ref="I410:J410"/>
    <mergeCell ref="K410:M410"/>
    <mergeCell ref="B411:G411"/>
    <mergeCell ref="I411:J411"/>
    <mergeCell ref="K411:M411"/>
    <mergeCell ref="B412:G412"/>
    <mergeCell ref="I412:J412"/>
    <mergeCell ref="K412:M412"/>
    <mergeCell ref="B413:G413"/>
    <mergeCell ref="B407:M407"/>
    <mergeCell ref="I408:J408"/>
    <mergeCell ref="K408:M408"/>
    <mergeCell ref="B362:D362"/>
    <mergeCell ref="B346:D346"/>
    <mergeCell ref="B347:D347"/>
    <mergeCell ref="B348:D348"/>
    <mergeCell ref="B351:D351"/>
    <mergeCell ref="B352:D352"/>
    <mergeCell ref="B361:D361"/>
    <mergeCell ref="B349:D349"/>
    <mergeCell ref="B356:D356"/>
    <mergeCell ref="B357:D357"/>
    <mergeCell ref="B358:D358"/>
    <mergeCell ref="B350:D350"/>
    <mergeCell ref="B360:D360"/>
    <mergeCell ref="B353:D353"/>
    <mergeCell ref="B354:D354"/>
    <mergeCell ref="B355:D355"/>
    <mergeCell ref="B341:F341"/>
    <mergeCell ref="B342:F342"/>
    <mergeCell ref="B343:M343"/>
    <mergeCell ref="B344:E344"/>
    <mergeCell ref="G344:M344"/>
    <mergeCell ref="B345:D345"/>
    <mergeCell ref="B336:M336"/>
    <mergeCell ref="B337:M337"/>
    <mergeCell ref="B338:H338"/>
    <mergeCell ref="J338:M339"/>
    <mergeCell ref="B339:H339"/>
    <mergeCell ref="B340:F340"/>
    <mergeCell ref="B329:F329"/>
    <mergeCell ref="B330:F330"/>
    <mergeCell ref="B331:F331"/>
    <mergeCell ref="B332:F332"/>
    <mergeCell ref="B333:F333"/>
    <mergeCell ref="B334:F334"/>
    <mergeCell ref="B326:C326"/>
    <mergeCell ref="D326:E326"/>
    <mergeCell ref="H326:I326"/>
    <mergeCell ref="F327:G327"/>
    <mergeCell ref="H327:I327"/>
    <mergeCell ref="B328:M328"/>
    <mergeCell ref="B324:C324"/>
    <mergeCell ref="D324:E324"/>
    <mergeCell ref="H324:I324"/>
    <mergeCell ref="B325:C325"/>
    <mergeCell ref="D325:E325"/>
    <mergeCell ref="H325:I325"/>
    <mergeCell ref="B321:C321"/>
    <mergeCell ref="D321:E321"/>
    <mergeCell ref="F321:I321"/>
    <mergeCell ref="B322:C322"/>
    <mergeCell ref="H322:I322"/>
    <mergeCell ref="B323:C323"/>
    <mergeCell ref="D323:E323"/>
    <mergeCell ref="H323:I323"/>
    <mergeCell ref="B318:C318"/>
    <mergeCell ref="D318:E318"/>
    <mergeCell ref="H318:I318"/>
    <mergeCell ref="F319:G319"/>
    <mergeCell ref="H319:I319"/>
    <mergeCell ref="B320:I320"/>
    <mergeCell ref="B316:C316"/>
    <mergeCell ref="D316:E316"/>
    <mergeCell ref="H316:I316"/>
    <mergeCell ref="B317:C317"/>
    <mergeCell ref="D317:E317"/>
    <mergeCell ref="H317:I317"/>
    <mergeCell ref="B313:C313"/>
    <mergeCell ref="D313:E313"/>
    <mergeCell ref="F313:I313"/>
    <mergeCell ref="B314:C314"/>
    <mergeCell ref="H314:I314"/>
    <mergeCell ref="B315:C315"/>
    <mergeCell ref="D315:E315"/>
    <mergeCell ref="H315:I315"/>
    <mergeCell ref="B310:C310"/>
    <mergeCell ref="D310:E310"/>
    <mergeCell ref="H310:I310"/>
    <mergeCell ref="F311:G311"/>
    <mergeCell ref="H311:I311"/>
    <mergeCell ref="B312:I312"/>
    <mergeCell ref="B308:C308"/>
    <mergeCell ref="D308:E308"/>
    <mergeCell ref="H308:I308"/>
    <mergeCell ref="B309:C309"/>
    <mergeCell ref="D309:E309"/>
    <mergeCell ref="H309:I309"/>
    <mergeCell ref="B305:C305"/>
    <mergeCell ref="D305:E305"/>
    <mergeCell ref="F305:I305"/>
    <mergeCell ref="B306:C306"/>
    <mergeCell ref="H306:I306"/>
    <mergeCell ref="B307:C307"/>
    <mergeCell ref="D307:E307"/>
    <mergeCell ref="H307:I307"/>
    <mergeCell ref="B303:C303"/>
    <mergeCell ref="D303:E303"/>
    <mergeCell ref="F303:G303"/>
    <mergeCell ref="H303:I303"/>
    <mergeCell ref="K303:M303"/>
    <mergeCell ref="B304:I304"/>
    <mergeCell ref="B301:C301"/>
    <mergeCell ref="D301:E301"/>
    <mergeCell ref="F301:G301"/>
    <mergeCell ref="H301:I301"/>
    <mergeCell ref="K301:L301"/>
    <mergeCell ref="B302:C302"/>
    <mergeCell ref="D302:E302"/>
    <mergeCell ref="F302:G302"/>
    <mergeCell ref="H302:I302"/>
    <mergeCell ref="K302:L302"/>
    <mergeCell ref="B299:I299"/>
    <mergeCell ref="K299:M299"/>
    <mergeCell ref="B300:C300"/>
    <mergeCell ref="D300:E300"/>
    <mergeCell ref="F300:G300"/>
    <mergeCell ref="H300:I300"/>
    <mergeCell ref="K300:L300"/>
    <mergeCell ref="K292:L292"/>
    <mergeCell ref="K293:M293"/>
    <mergeCell ref="G295:M295"/>
    <mergeCell ref="G296:H296"/>
    <mergeCell ref="G297:H297"/>
    <mergeCell ref="B298:M298"/>
    <mergeCell ref="B288:M288"/>
    <mergeCell ref="B289:C289"/>
    <mergeCell ref="D289:F289"/>
    <mergeCell ref="K289:M289"/>
    <mergeCell ref="K290:L290"/>
    <mergeCell ref="K291:L291"/>
    <mergeCell ref="B282:H282"/>
    <mergeCell ref="B283:F283"/>
    <mergeCell ref="B284:F284"/>
    <mergeCell ref="B285:F285"/>
    <mergeCell ref="B286:F286"/>
    <mergeCell ref="B287:F287"/>
    <mergeCell ref="B276:F276"/>
    <mergeCell ref="B277:F277"/>
    <mergeCell ref="B278:H278"/>
    <mergeCell ref="B279:F279"/>
    <mergeCell ref="B280:F280"/>
    <mergeCell ref="B281:F281"/>
    <mergeCell ref="B270:H270"/>
    <mergeCell ref="B271:F271"/>
    <mergeCell ref="B272:F272"/>
    <mergeCell ref="B273:F273"/>
    <mergeCell ref="B274:F274"/>
    <mergeCell ref="B275:F275"/>
    <mergeCell ref="B264:F264"/>
    <mergeCell ref="B265:F265"/>
    <mergeCell ref="B266:F266"/>
    <mergeCell ref="B267:F267"/>
    <mergeCell ref="B268:F268"/>
    <mergeCell ref="B269:M269"/>
    <mergeCell ref="B258:F258"/>
    <mergeCell ref="B259:M259"/>
    <mergeCell ref="B260:F260"/>
    <mergeCell ref="B261:F261"/>
    <mergeCell ref="B262:F262"/>
    <mergeCell ref="B263:F263"/>
    <mergeCell ref="B251:F251"/>
    <mergeCell ref="B252:F252"/>
    <mergeCell ref="B253:H253"/>
    <mergeCell ref="B255:F255"/>
    <mergeCell ref="B256:F256"/>
    <mergeCell ref="B257:F257"/>
    <mergeCell ref="B245:F245"/>
    <mergeCell ref="B246:F246"/>
    <mergeCell ref="B247:F247"/>
    <mergeCell ref="B248:F248"/>
    <mergeCell ref="B249:F249"/>
    <mergeCell ref="B250:F250"/>
    <mergeCell ref="B239:M239"/>
    <mergeCell ref="B240:H240"/>
    <mergeCell ref="B241:F241"/>
    <mergeCell ref="B242:F242"/>
    <mergeCell ref="B243:F243"/>
    <mergeCell ref="B244:F244"/>
    <mergeCell ref="B237:F237"/>
    <mergeCell ref="H237:I237"/>
    <mergeCell ref="K237:L237"/>
    <mergeCell ref="B238:F238"/>
    <mergeCell ref="H238:I238"/>
    <mergeCell ref="K238:M238"/>
    <mergeCell ref="B235:F235"/>
    <mergeCell ref="H235:I235"/>
    <mergeCell ref="K235:L235"/>
    <mergeCell ref="B236:F236"/>
    <mergeCell ref="H236:I236"/>
    <mergeCell ref="K236:L236"/>
    <mergeCell ref="B228:F228"/>
    <mergeCell ref="B229:F229"/>
    <mergeCell ref="B233:M233"/>
    <mergeCell ref="B234:G234"/>
    <mergeCell ref="H234:J234"/>
    <mergeCell ref="K234:M234"/>
    <mergeCell ref="B222:F222"/>
    <mergeCell ref="B223:F223"/>
    <mergeCell ref="B224:F224"/>
    <mergeCell ref="B225:F225"/>
    <mergeCell ref="B226:F226"/>
    <mergeCell ref="B227:F227"/>
    <mergeCell ref="B216:F216"/>
    <mergeCell ref="B217:F217"/>
    <mergeCell ref="B218:F218"/>
    <mergeCell ref="B219:F219"/>
    <mergeCell ref="B220:F220"/>
    <mergeCell ref="B221:F221"/>
    <mergeCell ref="B210:F210"/>
    <mergeCell ref="B211:F211"/>
    <mergeCell ref="B212:F212"/>
    <mergeCell ref="B213:F213"/>
    <mergeCell ref="B214:F214"/>
    <mergeCell ref="B215:F215"/>
    <mergeCell ref="B204:F204"/>
    <mergeCell ref="B205:F205"/>
    <mergeCell ref="B206:F206"/>
    <mergeCell ref="B207:F207"/>
    <mergeCell ref="B208:F208"/>
    <mergeCell ref="B209:F209"/>
    <mergeCell ref="B181:M181"/>
    <mergeCell ref="E182:H182"/>
    <mergeCell ref="I182:L182"/>
    <mergeCell ref="M182:M183"/>
    <mergeCell ref="B200:M200"/>
    <mergeCell ref="B203:F203"/>
    <mergeCell ref="B171:G171"/>
    <mergeCell ref="B172:G172"/>
    <mergeCell ref="B173:G173"/>
    <mergeCell ref="B174:M174"/>
    <mergeCell ref="B175:M179"/>
    <mergeCell ref="V178:AC178"/>
    <mergeCell ref="B157:M157"/>
    <mergeCell ref="B158:M162"/>
    <mergeCell ref="B167:M167"/>
    <mergeCell ref="B168:M168"/>
    <mergeCell ref="B169:G169"/>
    <mergeCell ref="B170:G170"/>
    <mergeCell ref="B139:M139"/>
    <mergeCell ref="B140:M144"/>
    <mergeCell ref="B145:M145"/>
    <mergeCell ref="B146:M150"/>
    <mergeCell ref="B151:M151"/>
    <mergeCell ref="B152:M156"/>
    <mergeCell ref="B121:M121"/>
    <mergeCell ref="B122:M126"/>
    <mergeCell ref="B127:M127"/>
    <mergeCell ref="B128:M132"/>
    <mergeCell ref="B133:M133"/>
    <mergeCell ref="B134:M138"/>
    <mergeCell ref="B107:G107"/>
    <mergeCell ref="B108:G108"/>
    <mergeCell ref="B109:M109"/>
    <mergeCell ref="B110:M114"/>
    <mergeCell ref="B115:M115"/>
    <mergeCell ref="B116:M120"/>
    <mergeCell ref="B102:M102"/>
    <mergeCell ref="B103:M103"/>
    <mergeCell ref="U103:AC104"/>
    <mergeCell ref="B104:G104"/>
    <mergeCell ref="B105:G105"/>
    <mergeCell ref="B106:G106"/>
    <mergeCell ref="O88:O99"/>
    <mergeCell ref="C89:G89"/>
    <mergeCell ref="H89:J89"/>
    <mergeCell ref="K89:L89"/>
    <mergeCell ref="C90:G90"/>
    <mergeCell ref="H90:J90"/>
    <mergeCell ref="K90:L90"/>
    <mergeCell ref="B91:M91"/>
    <mergeCell ref="C92:L99"/>
    <mergeCell ref="C87:G87"/>
    <mergeCell ref="H87:J87"/>
    <mergeCell ref="K87:L87"/>
    <mergeCell ref="C88:G88"/>
    <mergeCell ref="H88:J88"/>
    <mergeCell ref="K88:L88"/>
    <mergeCell ref="C85:G85"/>
    <mergeCell ref="H85:J85"/>
    <mergeCell ref="K85:L85"/>
    <mergeCell ref="C86:G86"/>
    <mergeCell ref="H86:J86"/>
    <mergeCell ref="K86:L86"/>
    <mergeCell ref="D75:M75"/>
    <mergeCell ref="D76:M76"/>
    <mergeCell ref="D77:M77"/>
    <mergeCell ref="D78:M78"/>
    <mergeCell ref="C80:L83"/>
    <mergeCell ref="B84:M84"/>
    <mergeCell ref="C69:M69"/>
    <mergeCell ref="C70:M70"/>
    <mergeCell ref="C71:M71"/>
    <mergeCell ref="C72:M72"/>
    <mergeCell ref="C73:M73"/>
    <mergeCell ref="D74:M74"/>
    <mergeCell ref="C47:L51"/>
    <mergeCell ref="B52:M52"/>
    <mergeCell ref="C53:G62"/>
    <mergeCell ref="H53:I53"/>
    <mergeCell ref="B67:M67"/>
    <mergeCell ref="C68:M68"/>
    <mergeCell ref="B42:D42"/>
    <mergeCell ref="F42:G42"/>
    <mergeCell ref="H42:K42"/>
    <mergeCell ref="B43:M43"/>
    <mergeCell ref="C44:L45"/>
    <mergeCell ref="B46:M46"/>
    <mergeCell ref="F39:G39"/>
    <mergeCell ref="H39:K39"/>
    <mergeCell ref="B40:D40"/>
    <mergeCell ref="F40:G40"/>
    <mergeCell ref="H40:K40"/>
    <mergeCell ref="B41:D41"/>
    <mergeCell ref="F41:G41"/>
    <mergeCell ref="H41:K41"/>
    <mergeCell ref="B37:D37"/>
    <mergeCell ref="F37:G37"/>
    <mergeCell ref="H37:K37"/>
    <mergeCell ref="B38:D38"/>
    <mergeCell ref="F38:G38"/>
    <mergeCell ref="H38:K38"/>
    <mergeCell ref="B35:D35"/>
    <mergeCell ref="F35:G35"/>
    <mergeCell ref="H35:K35"/>
    <mergeCell ref="B36:D36"/>
    <mergeCell ref="F36:G36"/>
    <mergeCell ref="H36:K36"/>
    <mergeCell ref="B33:D33"/>
    <mergeCell ref="F33:G33"/>
    <mergeCell ref="H33:K33"/>
    <mergeCell ref="B34:D34"/>
    <mergeCell ref="F34:G34"/>
    <mergeCell ref="H34:K34"/>
    <mergeCell ref="B29:F31"/>
    <mergeCell ref="G29:M29"/>
    <mergeCell ref="G30:M30"/>
    <mergeCell ref="G31:M31"/>
    <mergeCell ref="B32:D32"/>
    <mergeCell ref="F32:G32"/>
    <mergeCell ref="H32:K32"/>
    <mergeCell ref="B23:F23"/>
    <mergeCell ref="H23:M23"/>
    <mergeCell ref="B24:F24"/>
    <mergeCell ref="H24:M25"/>
    <mergeCell ref="B25:F25"/>
    <mergeCell ref="B28:F28"/>
    <mergeCell ref="AD18:AK20"/>
    <mergeCell ref="B19:F19"/>
    <mergeCell ref="G19:M19"/>
    <mergeCell ref="B20:F20"/>
    <mergeCell ref="H20:M22"/>
    <mergeCell ref="B21:F21"/>
    <mergeCell ref="B22:F22"/>
    <mergeCell ref="B2:G4"/>
    <mergeCell ref="J3:M7"/>
    <mergeCell ref="B5:G7"/>
    <mergeCell ref="U14:AC15"/>
    <mergeCell ref="U17:AC18"/>
    <mergeCell ref="B18:M18"/>
  </mergeCells>
  <conditionalFormatting sqref="B69:B78">
    <cfRule type="containsText" dxfId="147" priority="129" operator="containsText" text="oui">
      <formula>NOT(ISERROR(SEARCH("oui",B69)))</formula>
    </cfRule>
  </conditionalFormatting>
  <conditionalFormatting sqref="B76">
    <cfRule type="expression" dxfId="146" priority="128">
      <formula>$D$76=""</formula>
    </cfRule>
  </conditionalFormatting>
  <conditionalFormatting sqref="B356:B357 E356:F357 H356:H357 P356:P357">
    <cfRule type="expression" dxfId="145" priority="66">
      <formula>#REF!="non"</formula>
    </cfRule>
  </conditionalFormatting>
  <conditionalFormatting sqref="E32">
    <cfRule type="expression" dxfId="144" priority="138">
      <formula>COUNTIF($E$40:$E$43,"oui")=0</formula>
    </cfRule>
    <cfRule type="expression" dxfId="143" priority="139">
      <formula>COUNTIF($E$40:$E$43,"oui")&lt;&gt;0</formula>
    </cfRule>
  </conditionalFormatting>
  <conditionalFormatting sqref="E33:E42">
    <cfRule type="containsText" dxfId="142" priority="135" operator="containsText" text="oui">
      <formula>NOT(ISERROR(SEARCH("oui",E33)))</formula>
    </cfRule>
  </conditionalFormatting>
  <conditionalFormatting sqref="F429:F436">
    <cfRule type="colorScale" priority="126">
      <colorScale>
        <cfvo type="min"/>
        <cfvo type="max"/>
        <color theme="8" tint="0.79998168889431442"/>
        <color theme="8"/>
      </colorScale>
    </cfRule>
  </conditionalFormatting>
  <conditionalFormatting sqref="G356:G357 I356:O357 Q356:R357">
    <cfRule type="expression" dxfId="141" priority="63">
      <formula>$E$76="non"</formula>
    </cfRule>
  </conditionalFormatting>
  <conditionalFormatting sqref="H23">
    <cfRule type="expression" dxfId="140" priority="136">
      <formula>$H$24&lt;&gt;""</formula>
    </cfRule>
  </conditionalFormatting>
  <conditionalFormatting sqref="H345:H361">
    <cfRule type="expression" dxfId="139" priority="65">
      <formula>$H$340=""</formula>
    </cfRule>
  </conditionalFormatting>
  <conditionalFormatting sqref="H410:H411">
    <cfRule type="containsText" dxfId="138" priority="124" operator="containsText" text="oui">
      <formula>NOT(ISERROR(SEARCH("oui",H410)))</formula>
    </cfRule>
  </conditionalFormatting>
  <conditionalFormatting sqref="H417">
    <cfRule type="containsText" dxfId="137" priority="123" operator="containsText" text="oui">
      <formula>NOT(ISERROR(SEARCH("oui",H417)))</formula>
    </cfRule>
  </conditionalFormatting>
  <conditionalFormatting sqref="H419">
    <cfRule type="containsText" dxfId="136" priority="122" operator="containsText" text="oui">
      <formula>NOT(ISERROR(SEARCH("oui",H419)))</formula>
    </cfRule>
  </conditionalFormatting>
  <conditionalFormatting sqref="H423">
    <cfRule type="containsText" dxfId="135" priority="121" operator="containsText" text="oui">
      <formula>NOT(ISERROR(SEARCH("oui",H423)))</formula>
    </cfRule>
  </conditionalFormatting>
  <conditionalFormatting sqref="H28:M28">
    <cfRule type="expression" dxfId="134" priority="137">
      <formula>$G$29="oui"</formula>
    </cfRule>
  </conditionalFormatting>
  <conditionalFormatting sqref="I345:I361">
    <cfRule type="expression" dxfId="133" priority="62">
      <formula>$I$68=""</formula>
    </cfRule>
  </conditionalFormatting>
  <conditionalFormatting sqref="J345:J361">
    <cfRule type="expression" dxfId="132" priority="59">
      <formula>$J$68=""</formula>
    </cfRule>
  </conditionalFormatting>
  <conditionalFormatting sqref="K345:K361">
    <cfRule type="expression" dxfId="131" priority="54">
      <formula>$K$68=""</formula>
    </cfRule>
  </conditionalFormatting>
  <conditionalFormatting sqref="L345:L361">
    <cfRule type="expression" dxfId="130" priority="51">
      <formula>$L$68=""</formula>
    </cfRule>
  </conditionalFormatting>
  <conditionalFormatting sqref="M345:M361">
    <cfRule type="expression" dxfId="129" priority="48">
      <formula>$M$68=""</formula>
    </cfRule>
  </conditionalFormatting>
  <conditionalFormatting sqref="N345:N361">
    <cfRule type="expression" dxfId="128" priority="45">
      <formula>$N$68=""</formula>
    </cfRule>
  </conditionalFormatting>
  <conditionalFormatting sqref="O345:O361">
    <cfRule type="expression" dxfId="127" priority="42">
      <formula>$O$68=""</formula>
    </cfRule>
  </conditionalFormatting>
  <conditionalFormatting sqref="P345:P361">
    <cfRule type="expression" dxfId="126" priority="39">
      <formula>$P$68=""</formula>
    </cfRule>
  </conditionalFormatting>
  <conditionalFormatting sqref="P356:P357">
    <cfRule type="expression" dxfId="125" priority="40">
      <formula>$P$76="non"</formula>
    </cfRule>
  </conditionalFormatting>
  <conditionalFormatting sqref="Q345:Q361">
    <cfRule type="expression" dxfId="124" priority="36">
      <formula>$Q$68=""</formula>
    </cfRule>
  </conditionalFormatting>
  <conditionalFormatting sqref="R345:R361">
    <cfRule type="expression" dxfId="123" priority="33">
      <formula>$R$68=""</formula>
    </cfRule>
  </conditionalFormatting>
  <dataValidations count="8">
    <dataValidation type="list" allowBlank="1" showInputMessage="1" sqref="G341:R341">
      <formula1>INDIRECT("G_typebatiment[Type bâtiment]")</formula1>
    </dataValidation>
    <dataValidation type="list" allowBlank="1" showInputMessage="1" sqref="G342:R342">
      <formula1>INDIRECT("B_neufexistant[Neuf/Existant]")</formula1>
    </dataValidation>
    <dataValidation type="list" allowBlank="1" showInputMessage="1" showErrorMessage="1" sqref="H413">
      <formula1>$B$42:$B$43</formula1>
    </dataValidation>
    <dataValidation type="list" allowBlank="1" showInputMessage="1" showErrorMessage="1" sqref="G429:G436">
      <formula1>INDIRECT("etapesdossier[Etapes_dossier]")</formula1>
    </dataValidation>
    <dataValidation type="list" allowBlank="1" showInputMessage="1" showErrorMessage="1" sqref="G26">
      <formula1>INDIRECT("G_travaux[Travaux]")</formula1>
    </dataValidation>
    <dataValidation type="list" allowBlank="1" showInputMessage="1" showErrorMessage="1" sqref="G27">
      <formula1>INDIRECT("G_usage[Usage]")</formula1>
    </dataValidation>
    <dataValidation type="list" allowBlank="1" showInputMessage="1" sqref="G28">
      <formula1>INDIRECT("G_type[Type]")</formula1>
    </dataValidation>
    <dataValidation type="list" allowBlank="1" showInputMessage="1" sqref="G24">
      <formula1>INDIRECT("B_ouinon[Oui/non]")</formula1>
    </dataValidation>
  </dataValidations>
  <hyperlinks>
    <hyperlink ref="G9:H9" location="'Fiche projet biomasse'!B17" display="1 - Présentation du projet"/>
    <hyperlink ref="G12" location="'Fiche projet biomasse'!B113" display="3 - Caractéristiques techniques des installations aidées"/>
    <hyperlink ref="G13" location="'Fiche projet biomasse'!B175" display="4 - Plan d’approvisionnement en combustible(s) biomasse"/>
    <hyperlink ref="G14" location="'Fiche projet biomasse'!B175" display="5 - Récapitulatif des critères d’éligibilité"/>
    <hyperlink ref="G15" location="'Fiche projet biomasse'!B193" display="6 - Plan de financement"/>
    <hyperlink ref="B422:M422" r:id="rId1" display="Approvisionnement biomasse"/>
    <hyperlink ref="B420:G420" r:id="rId2" display="Emissions de poussières"/>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shapeId="50177" r:id="rId6">
          <objectPr defaultSize="0" r:id="rId7">
            <anchor moveWithCells="1">
              <from>
                <xdr:col>3</xdr:col>
                <xdr:colOff>388620</xdr:colOff>
                <xdr:row>109</xdr:row>
                <xdr:rowOff>60960</xdr:rowOff>
              </from>
              <to>
                <xdr:col>9</xdr:col>
                <xdr:colOff>342900</xdr:colOff>
                <xdr:row>110</xdr:row>
                <xdr:rowOff>152400</xdr:rowOff>
              </to>
            </anchor>
          </objectPr>
        </oleObject>
      </mc:Choice>
      <mc:Fallback>
        <oleObject progId="Word.Document.12" shapeId="50177" r:id="rId6"/>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27" id="{99FB2CBD-465D-436F-92FC-7C6C945DA59D}">
            <x14:iconSet custom="1">
              <x14:cfvo type="percent">
                <xm:f>0</xm:f>
              </x14:cfvo>
              <x14:cfvo type="num">
                <xm:f>0</xm:f>
              </x14:cfvo>
              <x14:cfvo type="num">
                <xm:f>0.85</xm:f>
              </x14:cfvo>
              <x14:cfIcon iconSet="3TrafficLights1" iconId="0"/>
              <x14:cfIcon iconSet="3TrafficLights1" iconId="0"/>
              <x14:cfIcon iconSet="3TrafficLights1" iconId="2"/>
            </x14:iconSet>
          </x14:cfRule>
          <xm:sqref>H415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x14:formula1>
            <xm:f>'[12]menus biomasse'!#REF!</xm:f>
          </x14:formula1>
          <xm:sqref>H410:H411 H417 H419 H423</xm:sqref>
        </x14:dataValidation>
        <x14:dataValidation type="list" allowBlank="1" showInputMessage="1" showErrorMessage="1">
          <x14:formula1>
            <xm:f>'[12]menus biomasse'!#REF!</xm:f>
          </x14:formula1>
          <xm:sqref>H412</xm:sqref>
        </x14:dataValidation>
        <x14:dataValidation type="list" allowBlank="1" showInputMessage="1" showErrorMessage="1">
          <x14:formula1>
            <xm:f>'menus geothermie'!$V$6:$V$11</xm:f>
          </x14:formula1>
          <xm:sqref>G25</xm:sqref>
        </x14:dataValidation>
        <x14:dataValidation type="list" allowBlank="1" showInputMessage="1">
          <x14:formula1>
            <xm:f>'menus geothermie'!$C$7:$C$9</xm:f>
          </x14:formula1>
          <xm:sqref>E33:E42 B69:B78</xm:sqref>
        </x14:dataValidation>
        <x14:dataValidation type="list" allowBlank="1" showInputMessage="1" showErrorMessage="1">
          <x14:formula1>
            <xm:f>[11]menus!#REF!</xm:f>
          </x14:formula1>
          <xm:sqref>H331:M331 M300:M302 J235:J238 M235:M237 G235:G238 H250 I270 I278 H290:H293 M290:M292 C290:C293 E290:E294 I296:I297 H172:M172 H107:M107 F232:M232 M184:N184 N185:N208 L209:M209 N210:N219 N221:N231 G220:M220 D303:I303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B4:B5"/>
  <sheetViews>
    <sheetView workbookViewId="0">
      <selection activeCell="B4" sqref="B4:B5"/>
    </sheetView>
  </sheetViews>
  <sheetFormatPr defaultColWidth="11.5546875" defaultRowHeight="14.4"/>
  <sheetData>
    <row r="4" spans="2:2">
      <c r="B4" s="947" t="s">
        <v>812</v>
      </c>
    </row>
    <row r="5" spans="2:2">
      <c r="B5" s="947" t="s">
        <v>813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E1:O150"/>
  <sheetViews>
    <sheetView topLeftCell="A31" zoomScale="70" zoomScaleNormal="70" workbookViewId="0">
      <selection activeCell="R51" sqref="R51"/>
    </sheetView>
  </sheetViews>
  <sheetFormatPr defaultColWidth="11.44140625" defaultRowHeight="14.4"/>
  <sheetData>
    <row r="1" spans="5:13">
      <c r="E1" t="s">
        <v>577</v>
      </c>
    </row>
    <row r="2" spans="5:13">
      <c r="E2" s="2061" t="s">
        <v>396</v>
      </c>
      <c r="F2" s="2062"/>
      <c r="G2" s="2062"/>
      <c r="H2" s="2062"/>
      <c r="I2" s="2062"/>
      <c r="J2" s="2062"/>
      <c r="K2" s="2062"/>
      <c r="L2" s="2062"/>
      <c r="M2" s="2062"/>
    </row>
    <row r="3" spans="5:13">
      <c r="E3" s="2061"/>
      <c r="F3" s="2062"/>
      <c r="G3" s="2062"/>
      <c r="H3" s="2062"/>
      <c r="I3" s="2062"/>
      <c r="J3" s="2062"/>
      <c r="K3" s="2062"/>
      <c r="L3" s="2062"/>
      <c r="M3" s="2062"/>
    </row>
    <row r="4" spans="5:13" ht="17.399999999999999">
      <c r="E4" s="235">
        <v>1</v>
      </c>
      <c r="F4" s="236" t="s">
        <v>399</v>
      </c>
      <c r="G4" s="237"/>
      <c r="H4" s="237"/>
      <c r="I4" s="237"/>
      <c r="J4" s="237"/>
      <c r="K4" s="237"/>
      <c r="L4" s="237"/>
      <c r="M4" s="238"/>
    </row>
    <row r="5" spans="5:13" ht="17.399999999999999">
      <c r="E5" s="243" t="s">
        <v>400</v>
      </c>
      <c r="F5" s="236" t="s">
        <v>401</v>
      </c>
      <c r="G5" s="237"/>
      <c r="H5" s="237"/>
      <c r="I5" s="237"/>
      <c r="J5" s="237"/>
      <c r="K5" s="237"/>
      <c r="L5" s="237"/>
      <c r="M5" s="238"/>
    </row>
    <row r="6" spans="5:13">
      <c r="E6" s="216"/>
    </row>
    <row r="7" spans="5:13">
      <c r="E7" s="216"/>
      <c r="F7" t="s">
        <v>945</v>
      </c>
    </row>
    <row r="8" spans="5:13">
      <c r="E8" s="216"/>
      <c r="F8" t="s">
        <v>946</v>
      </c>
    </row>
    <row r="9" spans="5:13">
      <c r="E9" s="216"/>
    </row>
    <row r="10" spans="5:13">
      <c r="E10" s="216"/>
    </row>
    <row r="11" spans="5:13">
      <c r="E11" s="216"/>
    </row>
    <row r="12" spans="5:13">
      <c r="E12" s="216"/>
    </row>
    <row r="13" spans="5:13">
      <c r="E13" s="216"/>
    </row>
    <row r="14" spans="5:13">
      <c r="E14" s="216"/>
    </row>
    <row r="15" spans="5:13">
      <c r="E15" s="216"/>
    </row>
    <row r="16" spans="5:13">
      <c r="E16" s="216"/>
    </row>
    <row r="17" spans="5:12">
      <c r="E17" s="216"/>
    </row>
    <row r="18" spans="5:12">
      <c r="E18" s="216"/>
    </row>
    <row r="19" spans="5:12">
      <c r="E19" s="216"/>
    </row>
    <row r="20" spans="5:12">
      <c r="E20" s="216"/>
    </row>
    <row r="21" spans="5:12">
      <c r="E21" s="216"/>
    </row>
    <row r="22" spans="5:12">
      <c r="E22" s="216"/>
    </row>
    <row r="23" spans="5:12">
      <c r="E23" s="216"/>
    </row>
    <row r="24" spans="5:12">
      <c r="E24" s="216"/>
    </row>
    <row r="25" spans="5:12">
      <c r="E25" s="216"/>
    </row>
    <row r="26" spans="5:12">
      <c r="E26" s="216"/>
    </row>
    <row r="27" spans="5:12">
      <c r="E27" s="216"/>
    </row>
    <row r="28" spans="5:12">
      <c r="E28" s="216"/>
    </row>
    <row r="29" spans="5:12">
      <c r="E29" s="216"/>
    </row>
    <row r="30" spans="5:12">
      <c r="E30" s="216"/>
    </row>
    <row r="31" spans="5:12">
      <c r="E31" s="216"/>
    </row>
    <row r="32" spans="5:12">
      <c r="E32" s="216"/>
      <c r="I32" s="251" t="s">
        <v>408</v>
      </c>
      <c r="L32" s="251" t="s">
        <v>409</v>
      </c>
    </row>
    <row r="33" spans="5:13">
      <c r="E33" s="216"/>
    </row>
    <row r="34" spans="5:13">
      <c r="E34" s="252" t="s">
        <v>410</v>
      </c>
    </row>
    <row r="35" spans="5:13">
      <c r="E35" s="216"/>
    </row>
    <row r="36" spans="5:13">
      <c r="E36" s="216"/>
    </row>
    <row r="37" spans="5:13">
      <c r="E37" s="216"/>
    </row>
    <row r="38" spans="5:13">
      <c r="E38" s="216"/>
    </row>
    <row r="39" spans="5:13">
      <c r="E39" s="216"/>
    </row>
    <row r="40" spans="5:13" ht="17.399999999999999">
      <c r="E40" s="243" t="s">
        <v>412</v>
      </c>
      <c r="F40" s="236" t="s">
        <v>413</v>
      </c>
      <c r="G40" s="237"/>
      <c r="H40" s="237"/>
      <c r="I40" s="237"/>
      <c r="J40" s="237"/>
      <c r="K40" s="237"/>
      <c r="L40" s="237"/>
      <c r="M40" s="238"/>
    </row>
    <row r="41" spans="5:13">
      <c r="E41" s="216"/>
    </row>
    <row r="42" spans="5:13">
      <c r="E42" s="216"/>
    </row>
    <row r="43" spans="5:13">
      <c r="E43" s="216"/>
    </row>
    <row r="44" spans="5:13">
      <c r="E44" s="216"/>
    </row>
    <row r="45" spans="5:13">
      <c r="E45" s="216"/>
    </row>
    <row r="46" spans="5:13">
      <c r="E46" s="216"/>
    </row>
    <row r="47" spans="5:13">
      <c r="E47" s="216"/>
    </row>
    <row r="48" spans="5:13">
      <c r="E48" s="216"/>
    </row>
    <row r="49" spans="5:12">
      <c r="E49" s="216"/>
    </row>
    <row r="50" spans="5:12">
      <c r="E50" s="216"/>
    </row>
    <row r="51" spans="5:12">
      <c r="E51" s="216"/>
    </row>
    <row r="52" spans="5:12">
      <c r="E52" s="216"/>
    </row>
    <row r="53" spans="5:12">
      <c r="E53" s="216"/>
    </row>
    <row r="54" spans="5:12">
      <c r="E54" s="256"/>
      <c r="F54" s="1"/>
      <c r="G54" s="1"/>
      <c r="H54" s="1"/>
      <c r="I54" s="1"/>
      <c r="J54" s="1"/>
      <c r="K54" s="1"/>
      <c r="L54" s="220"/>
    </row>
    <row r="55" spans="5:12">
      <c r="E55" s="256"/>
      <c r="F55" s="1"/>
      <c r="G55" s="1"/>
      <c r="H55" s="1"/>
      <c r="I55" s="1"/>
      <c r="J55" s="1"/>
      <c r="K55" s="1"/>
      <c r="L55" s="220"/>
    </row>
    <row r="56" spans="5:12">
      <c r="E56" s="256"/>
      <c r="F56" s="1"/>
      <c r="G56" s="1"/>
      <c r="H56" s="1"/>
      <c r="I56" s="1"/>
      <c r="J56" s="1"/>
      <c r="K56" s="1"/>
      <c r="L56" s="220"/>
    </row>
    <row r="57" spans="5:12">
      <c r="E57" s="216"/>
    </row>
    <row r="58" spans="5:12">
      <c r="E58" s="216"/>
    </row>
    <row r="59" spans="5:12">
      <c r="E59" s="216"/>
    </row>
    <row r="60" spans="5:12">
      <c r="E60" s="216"/>
    </row>
    <row r="61" spans="5:12">
      <c r="E61" s="216"/>
    </row>
    <row r="62" spans="5:12">
      <c r="E62" s="216"/>
    </row>
    <row r="63" spans="5:12">
      <c r="E63" s="216"/>
    </row>
    <row r="64" spans="5:12">
      <c r="E64" s="216"/>
    </row>
    <row r="65" spans="5:13">
      <c r="E65" s="216"/>
    </row>
    <row r="66" spans="5:13">
      <c r="E66" s="216"/>
    </row>
    <row r="67" spans="5:13">
      <c r="E67" s="216"/>
    </row>
    <row r="68" spans="5:13">
      <c r="E68" s="216"/>
    </row>
    <row r="69" spans="5:13">
      <c r="E69" s="216"/>
    </row>
    <row r="70" spans="5:13">
      <c r="E70" s="216"/>
    </row>
    <row r="71" spans="5:13">
      <c r="E71" s="216"/>
    </row>
    <row r="72" spans="5:13">
      <c r="E72" s="216"/>
      <c r="I72" s="251" t="s">
        <v>408</v>
      </c>
      <c r="L72" s="251" t="s">
        <v>409</v>
      </c>
    </row>
    <row r="73" spans="5:13">
      <c r="E73" s="216"/>
    </row>
    <row r="74" spans="5:13">
      <c r="E74" s="216"/>
    </row>
    <row r="75" spans="5:13">
      <c r="E75" s="216"/>
    </row>
    <row r="76" spans="5:13">
      <c r="E76" s="216"/>
    </row>
    <row r="77" spans="5:13" ht="17.399999999999999">
      <c r="E77" s="243" t="s">
        <v>420</v>
      </c>
      <c r="F77" s="2053" t="s">
        <v>421</v>
      </c>
      <c r="G77" s="2054"/>
      <c r="H77" s="2054"/>
      <c r="I77" s="2054"/>
      <c r="J77" s="2054"/>
      <c r="K77" s="2054"/>
      <c r="L77" s="2054"/>
      <c r="M77" s="2054"/>
    </row>
    <row r="78" spans="5:13">
      <c r="E78" s="257"/>
    </row>
    <row r="79" spans="5:13">
      <c r="E79" s="260"/>
    </row>
    <row r="80" spans="5:13">
      <c r="E80" s="216"/>
    </row>
    <row r="81" spans="5:15">
      <c r="E81" s="216"/>
    </row>
    <row r="82" spans="5:15">
      <c r="E82" s="216"/>
    </row>
    <row r="83" spans="5:15">
      <c r="E83" s="216"/>
    </row>
    <row r="84" spans="5:15">
      <c r="E84" s="216"/>
    </row>
    <row r="85" spans="5:15">
      <c r="E85" s="216"/>
    </row>
    <row r="86" spans="5:15">
      <c r="E86" s="216"/>
      <c r="O86" s="1127"/>
    </row>
    <row r="87" spans="5:15">
      <c r="E87" s="216"/>
    </row>
    <row r="88" spans="5:15">
      <c r="E88" s="216"/>
    </row>
    <row r="89" spans="5:15">
      <c r="E89" s="216"/>
    </row>
    <row r="90" spans="5:15">
      <c r="E90" s="216"/>
    </row>
    <row r="91" spans="5:15">
      <c r="E91" s="216"/>
    </row>
    <row r="92" spans="5:15">
      <c r="E92" s="216"/>
    </row>
    <row r="93" spans="5:15">
      <c r="E93" s="216"/>
    </row>
    <row r="94" spans="5:15">
      <c r="E94" s="216"/>
    </row>
    <row r="95" spans="5:15">
      <c r="E95" s="216"/>
    </row>
    <row r="96" spans="5:15">
      <c r="E96" s="216"/>
    </row>
    <row r="97" spans="5:13">
      <c r="E97" s="216"/>
    </row>
    <row r="98" spans="5:13">
      <c r="E98" s="216"/>
    </row>
    <row r="99" spans="5:13">
      <c r="E99" s="216"/>
    </row>
    <row r="100" spans="5:13">
      <c r="E100" s="216"/>
    </row>
    <row r="101" spans="5:13">
      <c r="E101" s="216"/>
    </row>
    <row r="102" spans="5:13">
      <c r="E102" s="216"/>
      <c r="I102" s="251"/>
      <c r="L102" s="251"/>
    </row>
    <row r="103" spans="5:13">
      <c r="E103" s="216"/>
    </row>
    <row r="104" spans="5:13" ht="17.399999999999999">
      <c r="E104" s="235">
        <v>2</v>
      </c>
      <c r="F104" s="236" t="s">
        <v>448</v>
      </c>
      <c r="G104" s="237"/>
      <c r="H104" s="237"/>
      <c r="I104" s="237"/>
      <c r="J104" s="237"/>
      <c r="K104" s="237"/>
      <c r="L104" s="237"/>
      <c r="M104" s="238"/>
    </row>
    <row r="105" spans="5:13" ht="17.399999999999999">
      <c r="E105" s="243" t="s">
        <v>450</v>
      </c>
      <c r="F105" s="236" t="s">
        <v>401</v>
      </c>
      <c r="G105" s="237"/>
      <c r="H105" s="237"/>
      <c r="I105" s="237"/>
      <c r="J105" s="237"/>
      <c r="K105" s="237"/>
      <c r="L105" s="237"/>
      <c r="M105" s="238"/>
    </row>
    <row r="106" spans="5:13">
      <c r="E106" s="216"/>
    </row>
    <row r="107" spans="5:13">
      <c r="E107" s="216"/>
    </row>
    <row r="108" spans="5:13">
      <c r="E108" s="216"/>
    </row>
    <row r="109" spans="5:13">
      <c r="E109" s="216"/>
    </row>
    <row r="110" spans="5:13">
      <c r="E110" s="216"/>
    </row>
    <row r="111" spans="5:13">
      <c r="E111" s="216"/>
    </row>
    <row r="112" spans="5:13">
      <c r="E112" s="216"/>
    </row>
    <row r="113" spans="5:13">
      <c r="E113" s="216"/>
    </row>
    <row r="114" spans="5:13">
      <c r="E114" s="216"/>
    </row>
    <row r="115" spans="5:13">
      <c r="E115" s="216"/>
    </row>
    <row r="116" spans="5:13">
      <c r="E116" s="216"/>
    </row>
    <row r="117" spans="5:13">
      <c r="E117" s="216"/>
    </row>
    <row r="118" spans="5:13">
      <c r="E118" s="216"/>
    </row>
    <row r="119" spans="5:13">
      <c r="E119" s="216"/>
    </row>
    <row r="120" spans="5:13">
      <c r="E120" s="216"/>
    </row>
    <row r="121" spans="5:13">
      <c r="E121" s="216"/>
    </row>
    <row r="122" spans="5:13">
      <c r="E122" s="216"/>
    </row>
    <row r="123" spans="5:13">
      <c r="E123" s="216"/>
      <c r="I123" s="251" t="s">
        <v>408</v>
      </c>
      <c r="L123" s="251" t="s">
        <v>409</v>
      </c>
    </row>
    <row r="124" spans="5:13">
      <c r="E124" s="216"/>
    </row>
    <row r="125" spans="5:13">
      <c r="E125" s="252" t="s">
        <v>410</v>
      </c>
    </row>
    <row r="126" spans="5:13">
      <c r="E126" s="216"/>
    </row>
    <row r="127" spans="5:13" ht="17.399999999999999">
      <c r="E127" s="243" t="s">
        <v>450</v>
      </c>
      <c r="F127" s="236" t="s">
        <v>463</v>
      </c>
      <c r="G127" s="237"/>
      <c r="H127" s="237"/>
      <c r="I127" s="237"/>
      <c r="J127" s="237"/>
      <c r="K127" s="237"/>
      <c r="L127" s="237"/>
      <c r="M127" s="238"/>
    </row>
    <row r="128" spans="5:13">
      <c r="E128" s="216"/>
    </row>
    <row r="129" spans="5:5">
      <c r="E129" s="216"/>
    </row>
    <row r="130" spans="5:5">
      <c r="E130" s="216"/>
    </row>
    <row r="131" spans="5:5">
      <c r="E131" s="216"/>
    </row>
    <row r="132" spans="5:5">
      <c r="E132" s="216"/>
    </row>
    <row r="133" spans="5:5">
      <c r="E133" s="216"/>
    </row>
    <row r="134" spans="5:5">
      <c r="E134" s="216"/>
    </row>
    <row r="135" spans="5:5">
      <c r="E135" s="216"/>
    </row>
    <row r="136" spans="5:5">
      <c r="E136" s="216"/>
    </row>
    <row r="137" spans="5:5">
      <c r="E137" s="216"/>
    </row>
    <row r="138" spans="5:5">
      <c r="E138" s="216"/>
    </row>
    <row r="139" spans="5:5">
      <c r="E139" s="216"/>
    </row>
    <row r="140" spans="5:5">
      <c r="E140" s="216"/>
    </row>
    <row r="141" spans="5:5">
      <c r="E141" s="216"/>
    </row>
    <row r="142" spans="5:5">
      <c r="E142" s="216"/>
    </row>
    <row r="143" spans="5:5">
      <c r="E143" s="216"/>
    </row>
    <row r="144" spans="5:5">
      <c r="E144" s="216"/>
    </row>
    <row r="145" spans="5:12">
      <c r="E145" s="216"/>
    </row>
    <row r="146" spans="5:12">
      <c r="E146" s="216"/>
      <c r="I146" s="251" t="s">
        <v>408</v>
      </c>
      <c r="L146" s="251" t="s">
        <v>409</v>
      </c>
    </row>
    <row r="147" spans="5:12">
      <c r="E147" s="216"/>
    </row>
    <row r="148" spans="5:12">
      <c r="E148" s="216"/>
    </row>
    <row r="149" spans="5:12">
      <c r="E149" s="216"/>
    </row>
    <row r="150" spans="5:12">
      <c r="E150" s="216"/>
    </row>
  </sheetData>
  <mergeCells count="2">
    <mergeCell ref="E2:M3"/>
    <mergeCell ref="F77:M7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00B050"/>
  </sheetPr>
  <dimension ref="A1:CF250"/>
  <sheetViews>
    <sheetView topLeftCell="A22" zoomScale="80" zoomScaleNormal="80" zoomScaleSheetLayoutView="80" workbookViewId="0">
      <selection activeCell="F132" sqref="F132"/>
    </sheetView>
  </sheetViews>
  <sheetFormatPr defaultColWidth="11.44140625" defaultRowHeight="14.4"/>
  <cols>
    <col min="1" max="1" width="11.44140625" style="1"/>
    <col min="2" max="2" width="16.33203125" style="395" customWidth="1"/>
    <col min="3" max="3" width="16.44140625" style="395" customWidth="1"/>
    <col min="4" max="4" width="17" style="395" customWidth="1"/>
    <col min="5" max="5" width="18.44140625" style="395" customWidth="1"/>
    <col min="6" max="6" width="18.33203125" style="395" customWidth="1"/>
    <col min="7" max="7" width="20.6640625" style="395" customWidth="1"/>
    <col min="8" max="8" width="16.33203125" style="395" customWidth="1"/>
    <col min="9" max="9" width="13" style="395" customWidth="1"/>
    <col min="10" max="10" width="12.5546875" style="395" customWidth="1"/>
    <col min="11" max="11" width="12.44140625" style="395" customWidth="1"/>
    <col min="12" max="12" width="13.5546875" style="368" customWidth="1"/>
    <col min="13" max="13" width="16.44140625" style="368" customWidth="1"/>
    <col min="14" max="14" width="11" hidden="1" customWidth="1"/>
    <col min="15" max="15" width="11.5546875" hidden="1" customWidth="1"/>
    <col min="16" max="16" width="11" hidden="1" customWidth="1"/>
    <col min="17" max="17" width="12.44140625" hidden="1" customWidth="1"/>
    <col min="18" max="18" width="11.6640625" hidden="1" customWidth="1"/>
    <col min="19" max="19" width="11.44140625" style="10"/>
    <col min="20" max="22" width="11.44140625" style="1"/>
    <col min="23" max="24" width="11.44140625" style="75"/>
    <col min="25" max="25" width="12.88671875" style="75" bestFit="1" customWidth="1"/>
    <col min="26" max="28" width="11.44140625" style="75"/>
    <col min="33" max="33" width="11.44140625" style="24"/>
  </cols>
  <sheetData>
    <row r="1" spans="2:84" ht="29.25" customHeight="1" thickBot="1">
      <c r="B1" s="344" t="s">
        <v>181</v>
      </c>
      <c r="C1" s="345"/>
      <c r="D1" s="346" t="s">
        <v>182</v>
      </c>
      <c r="E1" s="347"/>
      <c r="F1" s="347"/>
      <c r="G1" s="347"/>
      <c r="H1" s="348"/>
      <c r="I1" s="348"/>
      <c r="J1" s="348"/>
      <c r="K1" s="348"/>
      <c r="L1" s="349"/>
      <c r="M1" s="350"/>
      <c r="N1" s="1"/>
      <c r="O1" s="1"/>
      <c r="P1" s="1"/>
      <c r="Q1" s="1"/>
      <c r="R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spans="2:84" ht="16.2">
      <c r="B2" s="2933">
        <f>G19</f>
        <v>0</v>
      </c>
      <c r="C2" s="2934"/>
      <c r="D2" s="2934"/>
      <c r="E2" s="2934"/>
      <c r="F2" s="2934"/>
      <c r="G2" s="2934"/>
      <c r="H2" s="351"/>
      <c r="I2" s="352"/>
      <c r="J2" s="352"/>
      <c r="K2" s="352"/>
      <c r="L2" s="353"/>
      <c r="M2" s="354"/>
      <c r="N2" s="1"/>
      <c r="O2" s="1"/>
      <c r="P2" s="1"/>
      <c r="Q2" s="1"/>
      <c r="R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row>
    <row r="3" spans="2:84">
      <c r="B3" s="2935"/>
      <c r="C3" s="2936"/>
      <c r="D3" s="2936"/>
      <c r="E3" s="2936"/>
      <c r="F3" s="2936"/>
      <c r="G3" s="2936"/>
      <c r="H3" s="355"/>
      <c r="I3" s="356"/>
      <c r="J3" s="2926" t="s">
        <v>183</v>
      </c>
      <c r="K3" s="2927"/>
      <c r="L3" s="2927"/>
      <c r="M3" s="2928"/>
      <c r="N3" s="1"/>
      <c r="O3" s="1"/>
      <c r="P3" s="1"/>
      <c r="Q3" s="1"/>
      <c r="R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2:84" ht="15" thickBot="1">
      <c r="B4" s="2937"/>
      <c r="C4" s="2938"/>
      <c r="D4" s="2938"/>
      <c r="E4" s="2938"/>
      <c r="F4" s="2938"/>
      <c r="G4" s="2938"/>
      <c r="H4" s="355"/>
      <c r="I4" s="356"/>
      <c r="J4" s="2926"/>
      <c r="K4" s="2927"/>
      <c r="L4" s="2927"/>
      <c r="M4" s="2928"/>
      <c r="N4" s="1"/>
      <c r="O4" s="1"/>
      <c r="P4" s="1"/>
      <c r="Q4" s="1"/>
      <c r="R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2:84">
      <c r="B5" s="2939">
        <f>F34</f>
        <v>0</v>
      </c>
      <c r="C5" s="2940"/>
      <c r="D5" s="2940"/>
      <c r="E5" s="2940"/>
      <c r="F5" s="2940"/>
      <c r="G5" s="2940"/>
      <c r="H5" s="355"/>
      <c r="I5" s="356"/>
      <c r="J5" s="2926"/>
      <c r="K5" s="2927"/>
      <c r="L5" s="2927"/>
      <c r="M5" s="2928"/>
      <c r="N5" s="1"/>
      <c r="O5" s="1"/>
      <c r="P5" s="1"/>
      <c r="Q5" s="1"/>
      <c r="R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2:84">
      <c r="B6" s="2941"/>
      <c r="C6" s="2942"/>
      <c r="D6" s="2942"/>
      <c r="E6" s="2942"/>
      <c r="F6" s="2942"/>
      <c r="G6" s="2942"/>
      <c r="H6" s="355"/>
      <c r="I6" s="356"/>
      <c r="J6" s="2926"/>
      <c r="K6" s="2927"/>
      <c r="L6" s="2927"/>
      <c r="M6" s="2928"/>
      <c r="N6" s="1"/>
      <c r="O6" s="1"/>
      <c r="P6" s="1"/>
      <c r="Q6" s="1"/>
      <c r="R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2:84" ht="15" thickBot="1">
      <c r="B7" s="2943"/>
      <c r="C7" s="2944"/>
      <c r="D7" s="2944"/>
      <c r="E7" s="2944" t="b">
        <v>0</v>
      </c>
      <c r="F7" s="2944"/>
      <c r="G7" s="2944" t="b">
        <v>0</v>
      </c>
      <c r="H7" s="357"/>
      <c r="I7" s="358"/>
      <c r="J7" s="2929"/>
      <c r="K7" s="2930"/>
      <c r="L7" s="2930"/>
      <c r="M7" s="2931"/>
      <c r="N7" s="1"/>
      <c r="O7" s="1"/>
      <c r="P7" s="1"/>
      <c r="Q7" s="1"/>
      <c r="R7" s="1"/>
      <c r="U7"/>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2:84" ht="19.2" thickBot="1">
      <c r="B8" s="359"/>
      <c r="C8" s="360"/>
      <c r="D8" s="360"/>
      <c r="E8" s="360"/>
      <c r="F8" s="360"/>
      <c r="G8" s="360" t="s">
        <v>365</v>
      </c>
      <c r="H8" s="361"/>
      <c r="I8" s="361"/>
      <c r="J8" s="362"/>
      <c r="K8" s="362"/>
      <c r="L8" s="362"/>
      <c r="M8" s="363"/>
      <c r="N8" s="1"/>
      <c r="O8" s="1"/>
      <c r="P8" s="1"/>
      <c r="Q8" s="1"/>
      <c r="R8" s="1"/>
      <c r="U8"/>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2:84" ht="19.5" customHeight="1" thickBot="1">
      <c r="B9" s="359"/>
      <c r="C9" s="364"/>
      <c r="D9" s="364"/>
      <c r="E9" s="364"/>
      <c r="F9" s="364"/>
      <c r="G9" s="365" t="s">
        <v>8</v>
      </c>
      <c r="H9" s="365"/>
      <c r="I9" s="361"/>
      <c r="J9" s="362"/>
      <c r="K9" s="362"/>
      <c r="L9" s="362"/>
      <c r="M9" s="363"/>
      <c r="N9" s="1"/>
      <c r="O9" s="1"/>
      <c r="P9" s="1"/>
      <c r="Q9" s="1"/>
      <c r="R9" s="1"/>
      <c r="U9"/>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2:84" ht="19.5" customHeight="1" thickBot="1">
      <c r="B10" s="359"/>
      <c r="C10" s="366"/>
      <c r="D10" s="366"/>
      <c r="E10" s="366"/>
      <c r="F10" s="365"/>
      <c r="G10" s="365" t="s">
        <v>141</v>
      </c>
      <c r="H10" s="365"/>
      <c r="I10" s="366"/>
      <c r="J10" s="366"/>
      <c r="K10" s="366"/>
      <c r="L10" s="366"/>
      <c r="M10" s="363"/>
      <c r="N10" s="1"/>
      <c r="O10" s="1"/>
      <c r="P10" s="1"/>
      <c r="Q10" s="1"/>
      <c r="R10" s="1"/>
      <c r="U10"/>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2:84" ht="19.2" thickBot="1">
      <c r="B11" s="359"/>
      <c r="C11" s="367"/>
      <c r="D11" s="364"/>
      <c r="E11" s="364"/>
      <c r="F11" s="365"/>
      <c r="G11" s="365" t="s">
        <v>361</v>
      </c>
      <c r="H11" s="365"/>
      <c r="I11" s="361"/>
      <c r="J11" s="362"/>
      <c r="K11" s="362"/>
      <c r="L11" s="362"/>
      <c r="M11" s="363"/>
      <c r="N11" s="1"/>
      <c r="O11" s="1"/>
      <c r="P11" s="1"/>
      <c r="Q11" s="1"/>
      <c r="R11" s="1"/>
      <c r="U1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2:84" ht="19.2" thickBot="1">
      <c r="B12" s="359"/>
      <c r="C12" s="364"/>
      <c r="D12" s="364"/>
      <c r="E12" s="364"/>
      <c r="F12" s="365"/>
      <c r="G12" s="365" t="s">
        <v>362</v>
      </c>
      <c r="H12" s="365"/>
      <c r="I12" s="361"/>
      <c r="J12" s="362"/>
      <c r="K12" s="362"/>
      <c r="L12" s="362"/>
      <c r="M12" s="363"/>
      <c r="N12" s="1"/>
      <c r="O12" s="1"/>
      <c r="P12" s="1"/>
      <c r="Q12" s="1"/>
      <c r="R12" s="1"/>
      <c r="U12"/>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2:84" ht="19.2" thickBot="1">
      <c r="B13" s="359"/>
      <c r="C13" s="364"/>
      <c r="D13" s="364"/>
      <c r="E13" s="364"/>
      <c r="F13" s="365"/>
      <c r="G13" s="365" t="s">
        <v>363</v>
      </c>
      <c r="H13" s="365"/>
      <c r="I13" s="361"/>
      <c r="J13" s="362"/>
      <c r="K13" s="362"/>
      <c r="L13" s="362"/>
      <c r="M13" s="363"/>
      <c r="N13" s="1"/>
      <c r="O13" s="1"/>
      <c r="P13" s="1"/>
      <c r="Q13" s="1"/>
      <c r="R13" s="1"/>
      <c r="U13"/>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2:84" ht="19.2" thickBot="1">
      <c r="B14" s="359"/>
      <c r="C14" s="364"/>
      <c r="D14" s="364"/>
      <c r="E14" s="364"/>
      <c r="F14" s="365"/>
      <c r="G14" s="365" t="s">
        <v>364</v>
      </c>
      <c r="H14" s="365"/>
      <c r="I14" s="361"/>
      <c r="J14" s="362"/>
      <c r="K14" s="362"/>
      <c r="L14" s="362"/>
      <c r="M14" s="363"/>
      <c r="N14" s="1"/>
      <c r="O14" s="1"/>
      <c r="P14" s="1"/>
      <c r="Q14" s="1"/>
      <c r="R14" s="1"/>
      <c r="U14"/>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2:84">
      <c r="B15" s="368"/>
      <c r="C15" s="368"/>
      <c r="D15" s="368"/>
      <c r="E15" s="368"/>
      <c r="F15" s="368"/>
      <c r="G15" s="368"/>
      <c r="H15" s="368"/>
      <c r="I15" s="368"/>
      <c r="J15" s="368"/>
      <c r="K15" s="368"/>
      <c r="N15" s="10"/>
      <c r="O15" s="10"/>
      <c r="P15" s="10"/>
      <c r="Q15" s="10"/>
      <c r="R15" s="10"/>
      <c r="U15"/>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2:84">
      <c r="B16" s="368"/>
      <c r="C16" s="368"/>
      <c r="D16" s="368"/>
      <c r="E16" s="368"/>
      <c r="F16" s="368"/>
      <c r="G16" s="368"/>
      <c r="H16" s="368"/>
      <c r="I16" s="368"/>
      <c r="J16" s="368"/>
      <c r="K16" s="368"/>
      <c r="N16" s="10"/>
      <c r="O16" s="10"/>
      <c r="P16" s="10"/>
      <c r="Q16" s="10"/>
      <c r="R16" s="10"/>
      <c r="U16"/>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2:84" ht="15" thickBot="1">
      <c r="B17" s="368"/>
      <c r="C17" s="368"/>
      <c r="D17" s="368"/>
      <c r="E17" s="368"/>
      <c r="F17" s="368"/>
      <c r="G17" s="368"/>
      <c r="H17" s="368"/>
      <c r="I17" s="368"/>
      <c r="J17" s="368"/>
      <c r="K17" s="368"/>
      <c r="N17" s="10"/>
      <c r="O17" s="10"/>
      <c r="P17" s="10"/>
      <c r="Q17" s="10"/>
      <c r="R17" s="10"/>
      <c r="U17"/>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2:84" ht="18.600000000000001" thickBot="1">
      <c r="B18" s="2126" t="s">
        <v>8</v>
      </c>
      <c r="C18" s="2127"/>
      <c r="D18" s="2127"/>
      <c r="E18" s="2127"/>
      <c r="F18" s="2127"/>
      <c r="G18" s="2127"/>
      <c r="H18" s="2127"/>
      <c r="I18" s="2127"/>
      <c r="J18" s="2127"/>
      <c r="K18" s="2127"/>
      <c r="L18" s="2127"/>
      <c r="M18" s="2128"/>
      <c r="N18" s="39"/>
      <c r="O18" s="39"/>
      <c r="P18" s="39"/>
      <c r="Q18" s="39"/>
      <c r="R18" s="39"/>
      <c r="T18"/>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2:84">
      <c r="B19" s="2129" t="s">
        <v>1</v>
      </c>
      <c r="C19" s="2130"/>
      <c r="D19" s="2130"/>
      <c r="E19" s="2130"/>
      <c r="F19" s="2130"/>
      <c r="G19" s="2131"/>
      <c r="H19" s="2131"/>
      <c r="I19" s="2131"/>
      <c r="J19" s="2131"/>
      <c r="K19" s="2131"/>
      <c r="L19" s="2131"/>
      <c r="M19" s="2132"/>
      <c r="N19" s="47"/>
      <c r="O19" s="47"/>
      <c r="P19" s="47"/>
      <c r="Q19" s="47"/>
      <c r="R19" s="47"/>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2:84">
      <c r="B20" s="1936" t="s">
        <v>4</v>
      </c>
      <c r="C20" s="1937"/>
      <c r="D20" s="1937"/>
      <c r="E20" s="1937"/>
      <c r="F20" s="1937"/>
      <c r="G20" s="369"/>
      <c r="H20" s="2095" t="s">
        <v>159</v>
      </c>
      <c r="I20" s="2095"/>
      <c r="J20" s="2095"/>
      <c r="K20" s="2095"/>
      <c r="L20" s="2095"/>
      <c r="M20" s="2096"/>
      <c r="N20" s="48"/>
      <c r="O20" s="48"/>
      <c r="P20" s="48"/>
      <c r="Q20" s="48"/>
      <c r="R20" s="48"/>
      <c r="S20" s="29"/>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2:84">
      <c r="B21" s="1936" t="s">
        <v>5</v>
      </c>
      <c r="C21" s="1937"/>
      <c r="D21" s="1937"/>
      <c r="E21" s="1937"/>
      <c r="F21" s="1937"/>
      <c r="G21" s="370"/>
      <c r="H21" s="2095"/>
      <c r="I21" s="2095"/>
      <c r="J21" s="2095"/>
      <c r="K21" s="2095"/>
      <c r="L21" s="2095"/>
      <c r="M21" s="2096"/>
      <c r="N21" s="48"/>
      <c r="O21" s="48"/>
      <c r="P21" s="48"/>
      <c r="Q21" s="48"/>
      <c r="R21" s="48"/>
      <c r="S21" s="29"/>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2:84">
      <c r="B22" s="1936" t="s">
        <v>119</v>
      </c>
      <c r="C22" s="1937"/>
      <c r="D22" s="1937"/>
      <c r="E22" s="1937"/>
      <c r="F22" s="1937"/>
      <c r="G22" s="369"/>
      <c r="H22" s="2095"/>
      <c r="I22" s="2095"/>
      <c r="J22" s="2095"/>
      <c r="K22" s="2095"/>
      <c r="L22" s="2095"/>
      <c r="M22" s="2096"/>
      <c r="N22" s="48"/>
      <c r="O22" s="48"/>
      <c r="P22" s="48"/>
      <c r="Q22" s="48"/>
      <c r="R22" s="48"/>
      <c r="S22" s="29"/>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2:84">
      <c r="B23" s="1936" t="s">
        <v>120</v>
      </c>
      <c r="C23" s="1937"/>
      <c r="D23" s="1937"/>
      <c r="E23" s="1937"/>
      <c r="F23" s="1937"/>
      <c r="G23" s="371"/>
      <c r="H23" s="2092" t="str">
        <f>IF(G23&lt;=G20,"","Les travaux ont commencés avant la date de dépôt du dossier: le projet n'est plus finançable")</f>
        <v/>
      </c>
      <c r="I23" s="2093"/>
      <c r="J23" s="2093"/>
      <c r="K23" s="2093"/>
      <c r="L23" s="2093"/>
      <c r="M23" s="2094"/>
      <c r="N23" s="48"/>
      <c r="O23" s="48"/>
      <c r="P23" s="48"/>
      <c r="Q23" s="48"/>
      <c r="R23" s="48"/>
      <c r="S23" s="29"/>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2:84">
      <c r="B24" s="1936" t="s">
        <v>96</v>
      </c>
      <c r="C24" s="1937"/>
      <c r="D24" s="1937"/>
      <c r="E24" s="1937"/>
      <c r="F24" s="1937"/>
      <c r="G24" s="372"/>
      <c r="H24" s="2095" t="s">
        <v>159</v>
      </c>
      <c r="I24" s="2095"/>
      <c r="J24" s="2095"/>
      <c r="K24" s="2095"/>
      <c r="L24" s="2095"/>
      <c r="M24" s="2096"/>
      <c r="N24" s="48"/>
      <c r="O24" s="48"/>
      <c r="P24" s="48"/>
      <c r="Q24" s="48"/>
      <c r="R24" s="48"/>
      <c r="S24" s="29"/>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2:84">
      <c r="B25" s="1936" t="s">
        <v>118</v>
      </c>
      <c r="C25" s="1937"/>
      <c r="D25" s="1937"/>
      <c r="E25" s="1937"/>
      <c r="F25" s="1937"/>
      <c r="G25" s="372"/>
      <c r="H25" s="2095"/>
      <c r="I25" s="2095"/>
      <c r="J25" s="2095"/>
      <c r="K25" s="2095"/>
      <c r="L25" s="2095"/>
      <c r="M25" s="2096"/>
      <c r="N25" s="48"/>
      <c r="O25" s="48"/>
      <c r="P25" s="48"/>
      <c r="Q25" s="48"/>
      <c r="R25" s="48"/>
      <c r="S25" s="29"/>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2:84">
      <c r="B26" s="1936" t="s">
        <v>126</v>
      </c>
      <c r="C26" s="1937"/>
      <c r="D26" s="1937"/>
      <c r="E26" s="1937"/>
      <c r="F26" s="1937"/>
      <c r="G26" s="372" t="s">
        <v>205</v>
      </c>
      <c r="H26" s="2095"/>
      <c r="I26" s="2095"/>
      <c r="J26" s="2095"/>
      <c r="K26" s="2095"/>
      <c r="L26" s="2095"/>
      <c r="M26" s="2096"/>
      <c r="N26" s="48"/>
      <c r="O26" s="48"/>
      <c r="P26" s="48"/>
      <c r="Q26" s="48"/>
      <c r="R26" s="48"/>
      <c r="S26" s="29"/>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2:84">
      <c r="B27" s="2097" t="s">
        <v>200</v>
      </c>
      <c r="C27" s="2098"/>
      <c r="D27" s="2098"/>
      <c r="E27" s="2098"/>
      <c r="F27" s="2099"/>
      <c r="G27" s="373" t="s">
        <v>40</v>
      </c>
      <c r="H27" s="374" t="str">
        <f>IF(G27="oui","Merci de fournir la monotone dans l'espace schéma complémentaires","")</f>
        <v>Merci de fournir la monotone dans l'espace schéma complémentaires</v>
      </c>
      <c r="I27" s="375"/>
      <c r="J27" s="375"/>
      <c r="K27" s="375"/>
      <c r="L27" s="375"/>
      <c r="M27" s="376"/>
      <c r="N27" s="48"/>
      <c r="O27" s="48"/>
      <c r="P27" s="48"/>
      <c r="Q27" s="48"/>
      <c r="R27" s="48"/>
      <c r="S27" s="29"/>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2:84">
      <c r="B28" s="2100" t="s">
        <v>121</v>
      </c>
      <c r="C28" s="2101"/>
      <c r="D28" s="2101"/>
      <c r="E28" s="2101"/>
      <c r="F28" s="2101"/>
      <c r="G28" s="2104"/>
      <c r="H28" s="2104"/>
      <c r="I28" s="2104"/>
      <c r="J28" s="2104"/>
      <c r="K28" s="2104"/>
      <c r="L28" s="2104"/>
      <c r="M28" s="2105"/>
      <c r="N28" s="19"/>
      <c r="O28" s="19"/>
      <c r="P28" s="19"/>
      <c r="Q28" s="19"/>
      <c r="R28" s="19"/>
      <c r="S28" s="29"/>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2:84">
      <c r="B29" s="2100"/>
      <c r="C29" s="2101"/>
      <c r="D29" s="2101"/>
      <c r="E29" s="2101"/>
      <c r="F29" s="2101"/>
      <c r="G29" s="2104"/>
      <c r="H29" s="2104"/>
      <c r="I29" s="2104"/>
      <c r="J29" s="2104"/>
      <c r="K29" s="2104"/>
      <c r="L29" s="2104"/>
      <c r="M29" s="2105"/>
      <c r="N29" s="19"/>
      <c r="O29" s="19"/>
      <c r="P29" s="19"/>
      <c r="Q29" s="19"/>
      <c r="R29" s="19"/>
      <c r="S29" s="29"/>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2:84" ht="15" thickBot="1">
      <c r="B30" s="2102"/>
      <c r="C30" s="2103"/>
      <c r="D30" s="2103"/>
      <c r="E30" s="2103"/>
      <c r="F30" s="2103"/>
      <c r="G30" s="2106"/>
      <c r="H30" s="2106"/>
      <c r="I30" s="2106"/>
      <c r="J30" s="2106"/>
      <c r="K30" s="2106"/>
      <c r="L30" s="2106"/>
      <c r="M30" s="2107"/>
      <c r="N30" s="19"/>
      <c r="O30" s="19"/>
      <c r="P30" s="19"/>
      <c r="Q30" s="19"/>
      <c r="R30" s="19"/>
      <c r="S30" s="29"/>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2:84" ht="18" thickBot="1">
      <c r="B31" s="2108" t="s">
        <v>122</v>
      </c>
      <c r="C31" s="2109"/>
      <c r="D31" s="2109"/>
      <c r="E31" s="326" t="s">
        <v>150</v>
      </c>
      <c r="F31" s="2110" t="s">
        <v>156</v>
      </c>
      <c r="G31" s="2111"/>
      <c r="H31" s="2120" t="s">
        <v>123</v>
      </c>
      <c r="I31" s="2120"/>
      <c r="J31" s="2120"/>
      <c r="K31" s="2120"/>
      <c r="L31" s="377" t="s">
        <v>124</v>
      </c>
      <c r="M31" s="378" t="s">
        <v>125</v>
      </c>
      <c r="N31" s="49"/>
      <c r="O31" s="49"/>
      <c r="P31" s="49"/>
      <c r="Q31" s="49"/>
      <c r="R31" s="49"/>
      <c r="S31" s="29"/>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2:84">
      <c r="B32" s="2121" t="s">
        <v>179</v>
      </c>
      <c r="C32" s="2122"/>
      <c r="D32" s="2122"/>
      <c r="E32" s="327"/>
      <c r="F32" s="1949"/>
      <c r="G32" s="1949"/>
      <c r="H32" s="1949"/>
      <c r="I32" s="1949"/>
      <c r="J32" s="1949"/>
      <c r="K32" s="1949"/>
      <c r="L32" s="379"/>
      <c r="M32" s="380"/>
      <c r="N32" s="1"/>
      <c r="O32" s="1"/>
      <c r="P32" s="1"/>
      <c r="Q32" s="1"/>
      <c r="R32" s="1"/>
      <c r="S32" s="76"/>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2:84">
      <c r="B33" s="1936" t="s">
        <v>180</v>
      </c>
      <c r="C33" s="1937"/>
      <c r="D33" s="1937"/>
      <c r="E33" s="328"/>
      <c r="F33" s="1941"/>
      <c r="G33" s="1941"/>
      <c r="H33" s="1941"/>
      <c r="I33" s="1941"/>
      <c r="J33" s="1941"/>
      <c r="K33" s="1941"/>
      <c r="L33" s="381"/>
      <c r="M33" s="382"/>
      <c r="N33" s="1"/>
      <c r="O33" s="1"/>
      <c r="P33" s="1"/>
      <c r="Q33" s="1"/>
      <c r="R33" s="1"/>
      <c r="S33" s="29"/>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2:84">
      <c r="B34" s="1936" t="s">
        <v>155</v>
      </c>
      <c r="C34" s="1937"/>
      <c r="D34" s="1937"/>
      <c r="E34" s="328"/>
      <c r="F34" s="1941"/>
      <c r="G34" s="1941"/>
      <c r="H34" s="1941"/>
      <c r="I34" s="1941"/>
      <c r="J34" s="1941"/>
      <c r="K34" s="1941"/>
      <c r="L34" s="381"/>
      <c r="M34" s="382"/>
      <c r="N34" s="1"/>
      <c r="O34" s="1"/>
      <c r="P34" s="1"/>
      <c r="Q34" s="1"/>
      <c r="R34" s="1"/>
      <c r="S34" s="2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2:84">
      <c r="B35" s="1936" t="s">
        <v>128</v>
      </c>
      <c r="C35" s="1937"/>
      <c r="D35" s="1937"/>
      <c r="E35" s="329" t="s">
        <v>40</v>
      </c>
      <c r="F35" s="1941"/>
      <c r="G35" s="1941"/>
      <c r="H35" s="1941"/>
      <c r="I35" s="1941"/>
      <c r="J35" s="1941"/>
      <c r="K35" s="1941"/>
      <c r="L35" s="381"/>
      <c r="M35" s="382"/>
      <c r="N35" s="1"/>
      <c r="O35" s="1"/>
      <c r="P35" s="1"/>
      <c r="Q35" s="1"/>
      <c r="R35" s="1"/>
      <c r="S35" s="29"/>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2:84">
      <c r="B36" s="1936" t="s">
        <v>157</v>
      </c>
      <c r="C36" s="1937"/>
      <c r="D36" s="1937"/>
      <c r="E36" s="329"/>
      <c r="F36" s="1941"/>
      <c r="G36" s="1941"/>
      <c r="H36" s="1941"/>
      <c r="I36" s="1941"/>
      <c r="J36" s="1941"/>
      <c r="K36" s="1941"/>
      <c r="L36" s="381"/>
      <c r="M36" s="382"/>
      <c r="N36" s="1"/>
      <c r="O36" s="1"/>
      <c r="P36" s="1"/>
      <c r="Q36" s="1"/>
      <c r="R36" s="1"/>
      <c r="S36" s="29"/>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2:84" ht="15" thickBot="1">
      <c r="B37" s="1938" t="s">
        <v>129</v>
      </c>
      <c r="C37" s="1939"/>
      <c r="D37" s="1939"/>
      <c r="E37" s="330"/>
      <c r="F37" s="1940"/>
      <c r="G37" s="1940"/>
      <c r="H37" s="1940"/>
      <c r="I37" s="1940"/>
      <c r="J37" s="1940"/>
      <c r="K37" s="1940"/>
      <c r="L37" s="383"/>
      <c r="M37" s="384"/>
      <c r="N37" s="1"/>
      <c r="O37" s="1"/>
      <c r="P37" s="1"/>
      <c r="Q37" s="1"/>
      <c r="R37" s="1"/>
      <c r="S37" s="29"/>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2:84" ht="18" thickBot="1">
      <c r="B38" s="1942" t="s">
        <v>100</v>
      </c>
      <c r="C38" s="1943"/>
      <c r="D38" s="1943"/>
      <c r="E38" s="1943"/>
      <c r="F38" s="1943"/>
      <c r="G38" s="1943"/>
      <c r="H38" s="1943"/>
      <c r="I38" s="1943"/>
      <c r="J38" s="1943"/>
      <c r="K38" s="1943"/>
      <c r="L38" s="1943"/>
      <c r="M38" s="1944"/>
      <c r="N38" s="49"/>
      <c r="O38" s="49"/>
      <c r="P38" s="49"/>
      <c r="Q38" s="49"/>
      <c r="R38" s="49"/>
      <c r="S38" s="29"/>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2:84">
      <c r="B39" s="385"/>
      <c r="C39" s="1945"/>
      <c r="D39" s="1945"/>
      <c r="E39" s="1945"/>
      <c r="F39" s="1945"/>
      <c r="G39" s="1945"/>
      <c r="H39" s="1945"/>
      <c r="I39" s="1945"/>
      <c r="J39" s="1945"/>
      <c r="K39" s="1945"/>
      <c r="L39" s="1945"/>
      <c r="M39" s="386"/>
      <c r="N39" s="8"/>
      <c r="O39" s="8"/>
      <c r="P39" s="8"/>
      <c r="Q39" s="8"/>
      <c r="R39" s="8"/>
      <c r="S39" s="29"/>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2:84" ht="15" thickBot="1">
      <c r="B40" s="385"/>
      <c r="C40" s="1945"/>
      <c r="D40" s="1945"/>
      <c r="E40" s="1945"/>
      <c r="F40" s="1945"/>
      <c r="G40" s="1945"/>
      <c r="H40" s="1945"/>
      <c r="I40" s="1945"/>
      <c r="J40" s="1945"/>
      <c r="K40" s="1945"/>
      <c r="L40" s="1945"/>
      <c r="M40" s="386"/>
      <c r="N40" s="8"/>
      <c r="O40" s="8"/>
      <c r="P40" s="8"/>
      <c r="Q40" s="8"/>
      <c r="R40" s="8"/>
      <c r="S40" s="29"/>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2:84" ht="18" thickBot="1">
      <c r="B41" s="1942" t="s">
        <v>7</v>
      </c>
      <c r="C41" s="1943"/>
      <c r="D41" s="1943"/>
      <c r="E41" s="1943"/>
      <c r="F41" s="1943"/>
      <c r="G41" s="1943"/>
      <c r="H41" s="1943"/>
      <c r="I41" s="1943"/>
      <c r="J41" s="1943"/>
      <c r="K41" s="1943"/>
      <c r="L41" s="1943"/>
      <c r="M41" s="1944"/>
      <c r="N41" s="49"/>
      <c r="O41" s="49"/>
      <c r="P41" s="49"/>
      <c r="Q41" s="49"/>
      <c r="R41" s="49"/>
      <c r="S41" s="29"/>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2:84" ht="15" customHeight="1">
      <c r="B42" s="387"/>
      <c r="C42" s="1945"/>
      <c r="D42" s="1945"/>
      <c r="E42" s="1945"/>
      <c r="F42" s="1945"/>
      <c r="G42" s="1945"/>
      <c r="H42" s="1945"/>
      <c r="I42" s="1945"/>
      <c r="J42" s="1945"/>
      <c r="K42" s="1945"/>
      <c r="L42" s="1945"/>
      <c r="M42" s="388"/>
      <c r="N42" s="15"/>
      <c r="O42" s="15"/>
      <c r="P42" s="15"/>
      <c r="Q42" s="15"/>
      <c r="R42" s="15"/>
      <c r="S42" s="29"/>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2:84">
      <c r="B43" s="389"/>
      <c r="C43" s="1945"/>
      <c r="D43" s="1945"/>
      <c r="E43" s="1945"/>
      <c r="F43" s="1945"/>
      <c r="G43" s="1945"/>
      <c r="H43" s="1945"/>
      <c r="I43" s="1945"/>
      <c r="J43" s="1945"/>
      <c r="K43" s="1945"/>
      <c r="L43" s="1945"/>
      <c r="M43" s="388"/>
      <c r="N43" s="15"/>
      <c r="O43" s="15"/>
      <c r="P43" s="15"/>
      <c r="Q43" s="15"/>
      <c r="R43" s="15"/>
      <c r="S43" s="29"/>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2:84">
      <c r="B44" s="389"/>
      <c r="C44" s="1945"/>
      <c r="D44" s="1945"/>
      <c r="E44" s="1945"/>
      <c r="F44" s="1945"/>
      <c r="G44" s="1945"/>
      <c r="H44" s="1945"/>
      <c r="I44" s="1945"/>
      <c r="J44" s="1945"/>
      <c r="K44" s="1945"/>
      <c r="L44" s="1945"/>
      <c r="M44" s="388"/>
      <c r="N44" s="15"/>
      <c r="O44" s="15"/>
      <c r="P44" s="15"/>
      <c r="Q44" s="15"/>
      <c r="R44" s="15"/>
      <c r="S44" s="29"/>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2:84">
      <c r="B45" s="389"/>
      <c r="C45" s="1945"/>
      <c r="D45" s="1945"/>
      <c r="E45" s="1945"/>
      <c r="F45" s="1945"/>
      <c r="G45" s="1945"/>
      <c r="H45" s="1945"/>
      <c r="I45" s="1945"/>
      <c r="J45" s="1945"/>
      <c r="K45" s="1945"/>
      <c r="L45" s="1945"/>
      <c r="M45" s="388"/>
      <c r="N45" s="15"/>
      <c r="O45" s="15"/>
      <c r="P45" s="15"/>
      <c r="Q45" s="15"/>
      <c r="R45" s="15"/>
      <c r="S45" s="29"/>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2:84" ht="15" thickBot="1">
      <c r="B46" s="389"/>
      <c r="C46" s="1945"/>
      <c r="D46" s="1945"/>
      <c r="E46" s="1945"/>
      <c r="F46" s="1945"/>
      <c r="G46" s="1945"/>
      <c r="H46" s="1945"/>
      <c r="I46" s="1945"/>
      <c r="J46" s="1945"/>
      <c r="K46" s="1945"/>
      <c r="L46" s="1945"/>
      <c r="M46" s="388"/>
      <c r="N46" s="15"/>
      <c r="O46" s="15"/>
      <c r="P46" s="15"/>
      <c r="Q46" s="15"/>
      <c r="R46" s="15"/>
      <c r="S46" s="29"/>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2:84" ht="18" thickBot="1">
      <c r="B47" s="2123" t="s">
        <v>6</v>
      </c>
      <c r="C47" s="2124"/>
      <c r="D47" s="2124"/>
      <c r="E47" s="2124"/>
      <c r="F47" s="2124"/>
      <c r="G47" s="2124"/>
      <c r="H47" s="2124"/>
      <c r="I47" s="2124"/>
      <c r="J47" s="2124"/>
      <c r="K47" s="2124"/>
      <c r="L47" s="2124"/>
      <c r="M47" s="2125"/>
      <c r="N47" s="50"/>
      <c r="O47" s="50"/>
      <c r="P47" s="50"/>
      <c r="Q47" s="50"/>
      <c r="R47" s="50"/>
      <c r="S47" s="29"/>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2:84" ht="15" customHeight="1">
      <c r="B48" s="387"/>
      <c r="C48" s="1945"/>
      <c r="D48" s="1945"/>
      <c r="E48" s="1945"/>
      <c r="F48" s="1945"/>
      <c r="G48" s="2112"/>
      <c r="H48" s="2115" t="s">
        <v>201</v>
      </c>
      <c r="I48" s="2116"/>
      <c r="J48" s="390"/>
      <c r="K48" s="390"/>
      <c r="L48" s="390"/>
      <c r="M48" s="388"/>
      <c r="N48" s="15"/>
      <c r="O48" s="15"/>
      <c r="P48" s="15"/>
      <c r="Q48" s="15"/>
      <c r="R48" s="15"/>
      <c r="S48" s="29"/>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c r="B49" s="389"/>
      <c r="C49" s="1945"/>
      <c r="D49" s="1945"/>
      <c r="E49" s="1945"/>
      <c r="F49" s="1945"/>
      <c r="G49" s="2112"/>
      <c r="H49" s="390"/>
      <c r="I49" s="390"/>
      <c r="J49" s="390"/>
      <c r="K49" s="390"/>
      <c r="L49" s="390"/>
      <c r="M49" s="388"/>
      <c r="N49" s="15"/>
      <c r="O49" s="15"/>
      <c r="P49" s="15"/>
      <c r="Q49" s="15"/>
      <c r="R49" s="15"/>
      <c r="S49" s="29"/>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c r="B50" s="389"/>
      <c r="C50" s="1945"/>
      <c r="D50" s="1945"/>
      <c r="E50" s="1945"/>
      <c r="F50" s="1945"/>
      <c r="G50" s="2112"/>
      <c r="H50" s="390"/>
      <c r="I50" s="390"/>
      <c r="J50" s="390"/>
      <c r="K50" s="390"/>
      <c r="L50" s="390"/>
      <c r="M50" s="388"/>
      <c r="N50" s="15"/>
      <c r="O50" s="15"/>
      <c r="P50" s="15"/>
      <c r="Q50" s="15"/>
      <c r="R50" s="15"/>
      <c r="S50" s="29"/>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c r="B51" s="389"/>
      <c r="C51" s="1945"/>
      <c r="D51" s="1945"/>
      <c r="E51" s="1945"/>
      <c r="F51" s="1945"/>
      <c r="G51" s="2112"/>
      <c r="H51" s="390"/>
      <c r="I51" s="390"/>
      <c r="J51" s="390"/>
      <c r="K51" s="390"/>
      <c r="L51" s="390"/>
      <c r="M51" s="388"/>
      <c r="N51" s="15"/>
      <c r="O51" s="15"/>
      <c r="P51" s="15"/>
      <c r="Q51" s="15"/>
      <c r="R51" s="15"/>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c r="B52" s="389"/>
      <c r="C52" s="1945"/>
      <c r="D52" s="1945"/>
      <c r="E52" s="1945"/>
      <c r="F52" s="1945"/>
      <c r="G52" s="2112"/>
      <c r="H52" s="390"/>
      <c r="I52" s="390"/>
      <c r="J52" s="390"/>
      <c r="K52" s="390"/>
      <c r="L52" s="390"/>
      <c r="M52" s="388"/>
      <c r="N52" s="15"/>
      <c r="O52" s="15"/>
      <c r="P52" s="15"/>
      <c r="Q52" s="15"/>
      <c r="R52" s="15"/>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c r="B53" s="389"/>
      <c r="C53" s="1945"/>
      <c r="D53" s="1945"/>
      <c r="E53" s="1945"/>
      <c r="F53" s="1945"/>
      <c r="G53" s="2112"/>
      <c r="H53" s="390"/>
      <c r="I53" s="390"/>
      <c r="J53" s="390"/>
      <c r="K53" s="390"/>
      <c r="L53" s="390"/>
      <c r="M53" s="388"/>
      <c r="N53" s="15"/>
      <c r="O53" s="15"/>
      <c r="P53" s="15"/>
      <c r="Q53" s="15"/>
      <c r="R53" s="15"/>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c r="B54" s="389"/>
      <c r="C54" s="1945"/>
      <c r="D54" s="1945"/>
      <c r="E54" s="1945"/>
      <c r="F54" s="1945"/>
      <c r="G54" s="2112"/>
      <c r="H54" s="390"/>
      <c r="I54" s="390"/>
      <c r="J54" s="390"/>
      <c r="K54" s="390"/>
      <c r="L54" s="390"/>
      <c r="M54" s="388"/>
      <c r="N54" s="15"/>
      <c r="O54" s="15"/>
      <c r="P54" s="15"/>
      <c r="Q54" s="15"/>
      <c r="R54" s="15"/>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c r="B55" s="389"/>
      <c r="C55" s="1945"/>
      <c r="D55" s="1945"/>
      <c r="E55" s="1945"/>
      <c r="F55" s="1945"/>
      <c r="G55" s="2112"/>
      <c r="H55" s="390"/>
      <c r="I55" s="390"/>
      <c r="J55" s="390"/>
      <c r="K55" s="390"/>
      <c r="L55" s="390"/>
      <c r="M55" s="388"/>
      <c r="N55" s="15"/>
      <c r="O55" s="15"/>
      <c r="P55" s="15"/>
      <c r="Q55" s="15"/>
      <c r="R55" s="15"/>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c r="B56" s="389"/>
      <c r="C56" s="1945"/>
      <c r="D56" s="1945"/>
      <c r="E56" s="1945"/>
      <c r="F56" s="1945"/>
      <c r="G56" s="2112"/>
      <c r="H56" s="390"/>
      <c r="I56" s="390"/>
      <c r="J56" s="390"/>
      <c r="K56" s="390"/>
      <c r="L56" s="390"/>
      <c r="M56" s="388"/>
      <c r="N56" s="15"/>
      <c r="O56" s="15"/>
      <c r="P56" s="15"/>
      <c r="Q56" s="15"/>
      <c r="R56" s="15"/>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thickBot="1">
      <c r="B57" s="391"/>
      <c r="C57" s="2113"/>
      <c r="D57" s="2113"/>
      <c r="E57" s="2113"/>
      <c r="F57" s="2113"/>
      <c r="G57" s="2114"/>
      <c r="H57" s="392"/>
      <c r="I57" s="392"/>
      <c r="J57" s="392"/>
      <c r="K57" s="392"/>
      <c r="L57" s="392"/>
      <c r="M57" s="393"/>
      <c r="N57" s="15"/>
      <c r="O57" s="15"/>
      <c r="P57" s="15"/>
      <c r="Q57" s="15"/>
      <c r="R57" s="15"/>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s="1" customFormat="1">
      <c r="A58" s="19"/>
      <c r="B58" s="394"/>
      <c r="C58" s="394"/>
      <c r="D58" s="394"/>
      <c r="E58" s="394"/>
      <c r="F58" s="394"/>
      <c r="G58" s="394"/>
      <c r="H58" s="394"/>
      <c r="I58" s="394"/>
      <c r="J58" s="394"/>
      <c r="K58" s="394"/>
      <c r="L58" s="394"/>
      <c r="M58" s="394"/>
      <c r="N58" s="19"/>
      <c r="O58" s="19"/>
      <c r="P58" s="19"/>
      <c r="Q58" s="19"/>
      <c r="R58" s="19"/>
      <c r="S58" s="10"/>
    </row>
    <row r="59" spans="1:84" s="1" customFormat="1">
      <c r="A59" s="7"/>
      <c r="B59" s="395"/>
      <c r="C59" s="395"/>
      <c r="D59" s="395"/>
      <c r="E59" s="395"/>
      <c r="F59" s="395"/>
      <c r="G59" s="395"/>
      <c r="H59" s="395"/>
      <c r="I59" s="395"/>
      <c r="J59" s="395"/>
      <c r="K59" s="395"/>
      <c r="L59" s="368"/>
      <c r="M59" s="368"/>
      <c r="N59" s="36"/>
      <c r="O59" s="36"/>
      <c r="P59" s="36"/>
      <c r="Q59" s="36"/>
      <c r="R59" s="36"/>
      <c r="S59" s="60"/>
    </row>
    <row r="60" spans="1:84" s="1" customFormat="1" ht="15" thickBot="1">
      <c r="A60" s="36"/>
      <c r="B60" s="396"/>
      <c r="C60" s="396"/>
      <c r="D60" s="396"/>
      <c r="E60" s="396"/>
      <c r="F60" s="396"/>
      <c r="G60" s="396"/>
      <c r="H60" s="396"/>
      <c r="I60" s="396"/>
      <c r="J60" s="396"/>
      <c r="K60" s="396"/>
      <c r="L60" s="396"/>
      <c r="M60" s="396"/>
      <c r="N60" s="36"/>
      <c r="O60" s="36"/>
      <c r="P60" s="36"/>
      <c r="Q60" s="36"/>
      <c r="R60" s="36"/>
      <c r="S60" s="60"/>
    </row>
    <row r="61" spans="1:84" ht="18.600000000000001" thickBot="1">
      <c r="B61" s="2126" t="s">
        <v>141</v>
      </c>
      <c r="C61" s="2127"/>
      <c r="D61" s="2127"/>
      <c r="E61" s="2127"/>
      <c r="F61" s="2127"/>
      <c r="G61" s="2127"/>
      <c r="H61" s="2127"/>
      <c r="I61" s="2127"/>
      <c r="J61" s="2127"/>
      <c r="K61" s="2127"/>
      <c r="L61" s="2127"/>
      <c r="M61" s="2128"/>
      <c r="N61" s="87"/>
      <c r="O61" s="85"/>
      <c r="P61" s="85"/>
      <c r="Q61" s="85"/>
      <c r="R61" s="85"/>
      <c r="S61" s="40"/>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c r="B62" s="3037" t="s">
        <v>162</v>
      </c>
      <c r="C62" s="3038"/>
      <c r="D62" s="3038"/>
      <c r="E62" s="3038"/>
      <c r="F62" s="3038"/>
      <c r="G62" s="3038"/>
      <c r="H62" s="3038"/>
      <c r="I62" s="3038"/>
      <c r="J62" s="3038"/>
      <c r="K62" s="3038"/>
      <c r="L62" s="3038"/>
      <c r="M62" s="3039"/>
      <c r="N62" s="87"/>
      <c r="O62" s="85"/>
      <c r="P62" s="85"/>
      <c r="Q62" s="85"/>
      <c r="R62" s="85"/>
      <c r="S62" s="63"/>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c r="B63" s="3035" t="s">
        <v>138</v>
      </c>
      <c r="C63" s="3036"/>
      <c r="D63" s="3036"/>
      <c r="E63" s="3036"/>
      <c r="F63" s="3036"/>
      <c r="G63" s="3036"/>
      <c r="H63" s="3036"/>
      <c r="I63" s="397">
        <f>COUNTIF(G67:R67,"Existant")+COUNTIF(G67:R67,"Abandonné pour le projet")</f>
        <v>3</v>
      </c>
      <c r="J63" s="2897"/>
      <c r="K63" s="2898"/>
      <c r="L63" s="2898"/>
      <c r="M63" s="2899"/>
      <c r="N63" s="88"/>
      <c r="O63" s="86"/>
      <c r="P63" s="86"/>
      <c r="Q63" s="86"/>
      <c r="R63" s="65"/>
      <c r="S63" s="77"/>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c r="B64" s="3035" t="s">
        <v>140</v>
      </c>
      <c r="C64" s="3036"/>
      <c r="D64" s="3036"/>
      <c r="E64" s="3036"/>
      <c r="F64" s="3036"/>
      <c r="G64" s="3036"/>
      <c r="H64" s="3036"/>
      <c r="I64" s="397">
        <f>COUNTIF(G67:R67,"Existant")+COUNTIF(G67:R67,"Neuf")</f>
        <v>2</v>
      </c>
      <c r="J64" s="2900"/>
      <c r="K64" s="2901"/>
      <c r="L64" s="2901"/>
      <c r="M64" s="2902"/>
      <c r="N64" s="88"/>
      <c r="O64" s="86"/>
      <c r="P64" s="86"/>
      <c r="Q64" s="86"/>
      <c r="R64" s="86"/>
      <c r="S64" s="63"/>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2:84" ht="15" customHeight="1">
      <c r="B65" s="2903" t="s">
        <v>366</v>
      </c>
      <c r="C65" s="2904"/>
      <c r="D65" s="2904"/>
      <c r="E65" s="2904"/>
      <c r="F65" s="2904"/>
      <c r="G65" s="398" t="s">
        <v>146</v>
      </c>
      <c r="H65" s="399"/>
      <c r="I65" s="399"/>
      <c r="J65" s="399"/>
      <c r="K65" s="399"/>
      <c r="L65" s="399"/>
      <c r="M65" s="400"/>
      <c r="N65" s="89"/>
      <c r="O65" s="81"/>
      <c r="P65" s="81"/>
      <c r="Q65" s="81"/>
      <c r="R65" s="81"/>
      <c r="S65" s="78"/>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2:84" ht="15" customHeight="1">
      <c r="B66" s="2903" t="s">
        <v>9</v>
      </c>
      <c r="C66" s="2904"/>
      <c r="D66" s="2904"/>
      <c r="E66" s="2904"/>
      <c r="F66" s="2904"/>
      <c r="G66" s="398" t="s">
        <v>142</v>
      </c>
      <c r="H66" s="398"/>
      <c r="I66" s="398"/>
      <c r="J66" s="398"/>
      <c r="K66" s="398"/>
      <c r="L66" s="398"/>
      <c r="M66" s="401"/>
      <c r="N66" s="90"/>
      <c r="O66" s="66"/>
      <c r="P66" s="66"/>
      <c r="Q66" s="66"/>
      <c r="R66" s="66"/>
      <c r="S66" s="78"/>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2:84" ht="31.5" customHeight="1" thickBot="1">
      <c r="B67" s="3041" t="s">
        <v>165</v>
      </c>
      <c r="C67" s="3042"/>
      <c r="D67" s="3042"/>
      <c r="E67" s="3042"/>
      <c r="F67" s="3042"/>
      <c r="G67" s="402"/>
      <c r="H67" s="402" t="s">
        <v>75</v>
      </c>
      <c r="I67" s="402" t="s">
        <v>164</v>
      </c>
      <c r="J67" s="402" t="s">
        <v>75</v>
      </c>
      <c r="K67" s="402"/>
      <c r="L67" s="402"/>
      <c r="M67" s="403"/>
      <c r="N67" s="91"/>
      <c r="O67" s="82"/>
      <c r="P67" s="82"/>
      <c r="Q67" s="82"/>
      <c r="R67" s="82"/>
      <c r="S67" s="78"/>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2:84" ht="15" customHeight="1">
      <c r="B68" s="3032" t="s">
        <v>161</v>
      </c>
      <c r="C68" s="3033"/>
      <c r="D68" s="3033"/>
      <c r="E68" s="3033"/>
      <c r="F68" s="3033"/>
      <c r="G68" s="3033"/>
      <c r="H68" s="3033"/>
      <c r="I68" s="3033"/>
      <c r="J68" s="3033"/>
      <c r="K68" s="3033"/>
      <c r="L68" s="3033"/>
      <c r="M68" s="3034"/>
      <c r="N68" s="2198"/>
      <c r="O68" s="2198"/>
      <c r="P68" s="2198"/>
      <c r="Q68" s="2198"/>
      <c r="R68" s="2198"/>
      <c r="S68" s="78"/>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2:84" ht="15" customHeight="1">
      <c r="B69" s="3050"/>
      <c r="C69" s="3051"/>
      <c r="D69" s="3051"/>
      <c r="E69" s="3052"/>
      <c r="F69" s="404" t="s">
        <v>72</v>
      </c>
      <c r="G69" s="3047" t="s">
        <v>213</v>
      </c>
      <c r="H69" s="3048"/>
      <c r="I69" s="3048"/>
      <c r="J69" s="3048"/>
      <c r="K69" s="3048"/>
      <c r="L69" s="3048"/>
      <c r="M69" s="3049"/>
      <c r="N69" s="185"/>
      <c r="O69" s="84"/>
      <c r="P69" s="84"/>
      <c r="Q69" s="84"/>
      <c r="R69" s="84"/>
      <c r="S69" s="78"/>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2:84" ht="15" customHeight="1">
      <c r="B70" s="2903" t="s">
        <v>73</v>
      </c>
      <c r="C70" s="2904"/>
      <c r="D70" s="2904"/>
      <c r="E70" s="405" t="s">
        <v>108</v>
      </c>
      <c r="F70" s="331">
        <f>SUM(G70:M70)</f>
        <v>0</v>
      </c>
      <c r="G70" s="331"/>
      <c r="H70" s="331"/>
      <c r="I70" s="331"/>
      <c r="J70" s="331"/>
      <c r="K70" s="331"/>
      <c r="L70" s="331"/>
      <c r="M70" s="406"/>
      <c r="N70" s="92"/>
      <c r="O70" s="68"/>
      <c r="P70" s="68"/>
      <c r="Q70" s="68"/>
      <c r="R70" s="68"/>
      <c r="S70" s="63"/>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2:84" ht="15" customHeight="1">
      <c r="B71" s="2903" t="s">
        <v>575</v>
      </c>
      <c r="C71" s="2904"/>
      <c r="D71" s="2904"/>
      <c r="E71" s="405" t="s">
        <v>29</v>
      </c>
      <c r="F71" s="332"/>
      <c r="G71" s="407"/>
      <c r="H71" s="407"/>
      <c r="I71" s="407"/>
      <c r="J71" s="407"/>
      <c r="K71" s="407"/>
      <c r="L71" s="407"/>
      <c r="M71" s="408"/>
      <c r="N71" s="93"/>
      <c r="O71" s="72"/>
      <c r="P71" s="72"/>
      <c r="Q71" s="72"/>
      <c r="R71" s="72"/>
      <c r="S71" s="63"/>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row>
    <row r="72" spans="2:84" ht="15" customHeight="1">
      <c r="B72" s="3030" t="s">
        <v>136</v>
      </c>
      <c r="C72" s="3031"/>
      <c r="D72" s="3031"/>
      <c r="E72" s="405" t="s">
        <v>29</v>
      </c>
      <c r="F72" s="332"/>
      <c r="G72" s="337"/>
      <c r="H72" s="337"/>
      <c r="I72" s="337"/>
      <c r="J72" s="337"/>
      <c r="K72" s="337"/>
      <c r="L72" s="337"/>
      <c r="M72" s="409"/>
      <c r="N72" s="94"/>
      <c r="O72" s="69"/>
      <c r="P72" s="69"/>
      <c r="Q72" s="69"/>
      <c r="R72" s="69"/>
      <c r="S72" s="63"/>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2:84" ht="15" customHeight="1">
      <c r="B73" s="3030" t="s">
        <v>137</v>
      </c>
      <c r="C73" s="3031"/>
      <c r="D73" s="3031"/>
      <c r="E73" s="405" t="s">
        <v>29</v>
      </c>
      <c r="F73" s="332"/>
      <c r="G73" s="336"/>
      <c r="H73" s="336"/>
      <c r="I73" s="336"/>
      <c r="J73" s="336"/>
      <c r="K73" s="336"/>
      <c r="L73" s="336"/>
      <c r="M73" s="410"/>
      <c r="N73" s="195"/>
      <c r="O73" s="70"/>
      <c r="P73" s="70"/>
      <c r="Q73" s="70"/>
      <c r="R73" s="70"/>
      <c r="S73" s="63"/>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2:84" ht="15" customHeight="1">
      <c r="B74" s="3030" t="s">
        <v>198</v>
      </c>
      <c r="C74" s="3031"/>
      <c r="D74" s="3031"/>
      <c r="E74" s="405" t="s">
        <v>29</v>
      </c>
      <c r="F74" s="332"/>
      <c r="G74" s="337"/>
      <c r="H74" s="337"/>
      <c r="I74" s="337"/>
      <c r="J74" s="337"/>
      <c r="K74" s="337"/>
      <c r="L74" s="337"/>
      <c r="M74" s="409"/>
      <c r="N74" s="94"/>
      <c r="O74" s="69"/>
      <c r="P74" s="69"/>
      <c r="Q74" s="69"/>
      <c r="R74" s="69"/>
      <c r="S74" s="63"/>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2:84" ht="15" customHeight="1">
      <c r="B75" s="3025" t="s">
        <v>203</v>
      </c>
      <c r="C75" s="3026"/>
      <c r="D75" s="3026"/>
      <c r="E75" s="329" t="s">
        <v>40</v>
      </c>
      <c r="F75" s="332"/>
      <c r="G75" s="411"/>
      <c r="H75" s="411"/>
      <c r="I75" s="411"/>
      <c r="J75" s="411"/>
      <c r="K75" s="411"/>
      <c r="L75" s="411"/>
      <c r="M75" s="412"/>
      <c r="N75" s="196"/>
      <c r="O75" s="73"/>
      <c r="P75" s="73"/>
      <c r="Q75" s="73"/>
      <c r="R75" s="73"/>
      <c r="S75" s="63"/>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2:84" ht="15" customHeight="1">
      <c r="B76" s="2903" t="str">
        <f>IF(E75="oui","Classe énergétique","")</f>
        <v>Classe énergétique</v>
      </c>
      <c r="C76" s="2904"/>
      <c r="D76" s="2904"/>
      <c r="E76" s="413"/>
      <c r="F76" s="332"/>
      <c r="G76" s="332"/>
      <c r="H76" s="332"/>
      <c r="I76" s="332"/>
      <c r="J76" s="332"/>
      <c r="K76" s="332"/>
      <c r="L76" s="332"/>
      <c r="M76" s="414"/>
      <c r="N76" s="96"/>
      <c r="O76" s="74"/>
      <c r="P76" s="74"/>
      <c r="Q76" s="74"/>
      <c r="R76" s="74"/>
      <c r="S76" s="63"/>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2:84" ht="15" customHeight="1">
      <c r="B77" s="2903" t="s">
        <v>354</v>
      </c>
      <c r="C77" s="2904"/>
      <c r="D77" s="2904"/>
      <c r="E77" s="405" t="s">
        <v>53</v>
      </c>
      <c r="F77" s="333" t="str">
        <f>IF(SUM(G77:R77)=0,"",SUM(G77:R77))</f>
        <v/>
      </c>
      <c r="G77" s="333"/>
      <c r="H77" s="333"/>
      <c r="I77" s="333"/>
      <c r="J77" s="333"/>
      <c r="K77" s="333"/>
      <c r="L77" s="333"/>
      <c r="M77" s="415"/>
      <c r="N77" s="197"/>
      <c r="O77" s="83"/>
      <c r="P77" s="83"/>
      <c r="Q77" s="83"/>
      <c r="R77" s="83"/>
      <c r="S77" s="63"/>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2:84" ht="15" customHeight="1">
      <c r="B78" s="2903" t="s">
        <v>216</v>
      </c>
      <c r="C78" s="2904"/>
      <c r="D78" s="2904"/>
      <c r="E78" s="405" t="s">
        <v>163</v>
      </c>
      <c r="F78" s="334">
        <f t="shared" ref="F78:F85" si="0">SUM(G78:R78)</f>
        <v>0</v>
      </c>
      <c r="G78" s="337"/>
      <c r="H78" s="337"/>
      <c r="I78" s="337"/>
      <c r="J78" s="337"/>
      <c r="K78" s="337"/>
      <c r="L78" s="337"/>
      <c r="M78" s="409"/>
      <c r="N78" s="104"/>
      <c r="O78" s="99"/>
      <c r="P78" s="99"/>
      <c r="Q78" s="99"/>
      <c r="R78" s="99"/>
      <c r="S78" s="79"/>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2:84" ht="15" customHeight="1">
      <c r="B79" s="2906" t="s">
        <v>212</v>
      </c>
      <c r="C79" s="2907"/>
      <c r="D79" s="2908"/>
      <c r="E79" s="405" t="s">
        <v>163</v>
      </c>
      <c r="F79" s="334">
        <f t="shared" si="0"/>
        <v>0</v>
      </c>
      <c r="G79" s="337"/>
      <c r="H79" s="337"/>
      <c r="I79" s="337"/>
      <c r="J79" s="337"/>
      <c r="K79" s="337"/>
      <c r="L79" s="337"/>
      <c r="M79" s="409"/>
      <c r="N79" s="104"/>
      <c r="O79" s="99"/>
      <c r="P79" s="99"/>
      <c r="Q79" s="99"/>
      <c r="R79" s="99"/>
      <c r="S79" s="79"/>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2:84" ht="15" customHeight="1">
      <c r="B80" s="2906" t="s">
        <v>214</v>
      </c>
      <c r="C80" s="2907"/>
      <c r="D80" s="2908"/>
      <c r="E80" s="405" t="s">
        <v>163</v>
      </c>
      <c r="F80" s="334">
        <f t="shared" si="0"/>
        <v>0</v>
      </c>
      <c r="G80" s="337"/>
      <c r="H80" s="337"/>
      <c r="I80" s="337"/>
      <c r="J80" s="337"/>
      <c r="K80" s="337"/>
      <c r="L80" s="337"/>
      <c r="M80" s="409"/>
      <c r="N80" s="104"/>
      <c r="O80" s="99"/>
      <c r="P80" s="99"/>
      <c r="Q80" s="99"/>
      <c r="R80" s="99"/>
      <c r="S80" s="79"/>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2:84" ht="15" customHeight="1">
      <c r="B81" s="3041" t="s">
        <v>217</v>
      </c>
      <c r="C81" s="3042"/>
      <c r="D81" s="3042"/>
      <c r="E81" s="416" t="s">
        <v>163</v>
      </c>
      <c r="F81" s="334">
        <f t="shared" si="0"/>
        <v>0</v>
      </c>
      <c r="G81" s="337"/>
      <c r="H81" s="337"/>
      <c r="I81" s="337"/>
      <c r="J81" s="337"/>
      <c r="K81" s="337"/>
      <c r="L81" s="337"/>
      <c r="M81" s="409"/>
      <c r="N81" s="104"/>
      <c r="O81" s="99"/>
      <c r="P81" s="99"/>
      <c r="Q81" s="99"/>
      <c r="R81" s="99"/>
      <c r="S81" s="79"/>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2:84" ht="15" customHeight="1">
      <c r="B82" s="2903" t="s">
        <v>215</v>
      </c>
      <c r="C82" s="2904"/>
      <c r="D82" s="2904"/>
      <c r="E82" s="417" t="s">
        <v>163</v>
      </c>
      <c r="F82" s="335">
        <f t="shared" si="0"/>
        <v>0</v>
      </c>
      <c r="G82" s="337"/>
      <c r="H82" s="337"/>
      <c r="I82" s="337"/>
      <c r="J82" s="337"/>
      <c r="K82" s="337"/>
      <c r="L82" s="337"/>
      <c r="M82" s="409"/>
      <c r="N82" s="104"/>
      <c r="O82" s="99"/>
      <c r="P82" s="99"/>
      <c r="Q82" s="99"/>
      <c r="R82" s="99"/>
      <c r="S82" s="79"/>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2:84" ht="15" customHeight="1">
      <c r="B83" s="2903" t="s">
        <v>211</v>
      </c>
      <c r="C83" s="2904"/>
      <c r="D83" s="2904"/>
      <c r="E83" s="417" t="s">
        <v>163</v>
      </c>
      <c r="F83" s="335">
        <f t="shared" si="0"/>
        <v>0</v>
      </c>
      <c r="G83" s="337"/>
      <c r="H83" s="337"/>
      <c r="I83" s="337"/>
      <c r="J83" s="337"/>
      <c r="K83" s="337"/>
      <c r="L83" s="337"/>
      <c r="M83" s="409"/>
      <c r="N83" s="104"/>
      <c r="O83" s="99"/>
      <c r="P83" s="99"/>
      <c r="Q83" s="99"/>
      <c r="R83" s="99"/>
      <c r="S83" s="79"/>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2:84" ht="15" customHeight="1">
      <c r="B84" s="2932" t="s">
        <v>204</v>
      </c>
      <c r="C84" s="1937"/>
      <c r="D84" s="1937"/>
      <c r="E84" s="417" t="s">
        <v>163</v>
      </c>
      <c r="F84" s="334">
        <f t="shared" si="0"/>
        <v>0</v>
      </c>
      <c r="G84" s="337" t="str">
        <f>IF(SUM(G78:G83)=0,"",IFERROR(SUM(G78:G83),""))</f>
        <v/>
      </c>
      <c r="H84" s="337" t="str">
        <f t="shared" ref="H84:R84" si="1">IF(SUM(H78:H83)=0,"",IFERROR(SUM(H78:H83),""))</f>
        <v/>
      </c>
      <c r="I84" s="337" t="str">
        <f t="shared" si="1"/>
        <v/>
      </c>
      <c r="J84" s="337" t="str">
        <f t="shared" si="1"/>
        <v/>
      </c>
      <c r="K84" s="337" t="str">
        <f t="shared" si="1"/>
        <v/>
      </c>
      <c r="L84" s="337" t="str">
        <f t="shared" si="1"/>
        <v/>
      </c>
      <c r="M84" s="409" t="str">
        <f t="shared" si="1"/>
        <v/>
      </c>
      <c r="N84" s="191" t="str">
        <f t="shared" si="1"/>
        <v/>
      </c>
      <c r="O84" s="190" t="str">
        <f t="shared" si="1"/>
        <v/>
      </c>
      <c r="P84" s="190" t="str">
        <f t="shared" si="1"/>
        <v/>
      </c>
      <c r="Q84" s="190" t="str">
        <f t="shared" si="1"/>
        <v/>
      </c>
      <c r="R84" s="190" t="str">
        <f t="shared" si="1"/>
        <v/>
      </c>
      <c r="S84" s="79"/>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2:84" ht="15" hidden="1" customHeight="1">
      <c r="B85" s="2905" t="s">
        <v>351</v>
      </c>
      <c r="C85" s="1947"/>
      <c r="D85" s="1948"/>
      <c r="E85" s="417" t="s">
        <v>352</v>
      </c>
      <c r="F85" s="334">
        <f t="shared" si="0"/>
        <v>0</v>
      </c>
      <c r="G85" s="337" t="str">
        <f>IF(G78+G79+G80*2.58+G81*0+G82*0+G83*0=0,"",IFERROR(G78+G79+G80*2.58+G81*0+G82*0+G83*0,""))</f>
        <v/>
      </c>
      <c r="H85" s="337" t="str">
        <f t="shared" ref="H85:R85" si="2">IF(H78+H79+H80*2.58+H81*0+H82*0+H83*0=0,"",IFERROR(H78+H79+H80*2.58+H81*0+H82*0+H83*0,""))</f>
        <v/>
      </c>
      <c r="I85" s="337" t="str">
        <f t="shared" si="2"/>
        <v/>
      </c>
      <c r="J85" s="337" t="str">
        <f t="shared" si="2"/>
        <v/>
      </c>
      <c r="K85" s="337" t="str">
        <f t="shared" si="2"/>
        <v/>
      </c>
      <c r="L85" s="337" t="str">
        <f t="shared" si="2"/>
        <v/>
      </c>
      <c r="M85" s="409" t="str">
        <f t="shared" si="2"/>
        <v/>
      </c>
      <c r="N85" s="191" t="str">
        <f t="shared" si="2"/>
        <v/>
      </c>
      <c r="O85" s="190" t="str">
        <f t="shared" si="2"/>
        <v/>
      </c>
      <c r="P85" s="190" t="str">
        <f t="shared" si="2"/>
        <v/>
      </c>
      <c r="Q85" s="190" t="str">
        <f t="shared" si="2"/>
        <v/>
      </c>
      <c r="R85" s="190" t="str">
        <f t="shared" si="2"/>
        <v/>
      </c>
      <c r="S85" s="79"/>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2:84" ht="15" hidden="1" customHeight="1">
      <c r="B86" s="2905" t="s">
        <v>349</v>
      </c>
      <c r="C86" s="1947"/>
      <c r="D86" s="1948"/>
      <c r="E86" s="417" t="s">
        <v>350</v>
      </c>
      <c r="F86" s="336" t="str">
        <f>IFERROR(SUM(G86:R86)/F70,"")</f>
        <v/>
      </c>
      <c r="G86" s="336" t="str">
        <f t="shared" ref="G86:R86" si="3">IFERROR(G84/G70,"")</f>
        <v/>
      </c>
      <c r="H86" s="336" t="str">
        <f t="shared" si="3"/>
        <v/>
      </c>
      <c r="I86" s="336" t="str">
        <f t="shared" si="3"/>
        <v/>
      </c>
      <c r="J86" s="336" t="str">
        <f t="shared" si="3"/>
        <v/>
      </c>
      <c r="K86" s="336" t="str">
        <f t="shared" si="3"/>
        <v/>
      </c>
      <c r="L86" s="336" t="str">
        <f t="shared" si="3"/>
        <v/>
      </c>
      <c r="M86" s="410" t="str">
        <f t="shared" si="3"/>
        <v/>
      </c>
      <c r="N86" s="194" t="str">
        <f t="shared" si="3"/>
        <v/>
      </c>
      <c r="O86" s="193" t="str">
        <f t="shared" si="3"/>
        <v/>
      </c>
      <c r="P86" s="193" t="str">
        <f t="shared" si="3"/>
        <v/>
      </c>
      <c r="Q86" s="193" t="str">
        <f t="shared" si="3"/>
        <v/>
      </c>
      <c r="R86" s="193" t="str">
        <f t="shared" si="3"/>
        <v/>
      </c>
      <c r="S86" s="79"/>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2:84" ht="15" customHeight="1">
      <c r="B87" s="2905" t="s">
        <v>218</v>
      </c>
      <c r="C87" s="1947"/>
      <c r="D87" s="1948"/>
      <c r="E87" s="418"/>
      <c r="F87" s="337" t="str">
        <f>IF(F86="-","",IF(F86&lt;=50,"A",IF(F86&lt;=90,"B",IF(F86&lt;=150,"C",IF(F86&lt;230,"D",IF(F86&lt;330,"E",IF(F86&lt;=450,"F","D")))))))</f>
        <v>D</v>
      </c>
      <c r="G87" s="337" t="str">
        <f>IF(G86="-","",IF(G86&lt;=50,"A",IF(G86&lt;=90,"B",IF(G86&lt;=150,"C",IF(G86&lt;230,"D",IF(G86&lt;330,"E",IF(G86&lt;=450,"F","D")))))))</f>
        <v>D</v>
      </c>
      <c r="H87" s="337" t="str">
        <f t="shared" ref="H87:R87" si="4">IF(H86="-","",IF(H86&lt;=50,"A",IF(H86&lt;=90,"B",IF(H86&lt;=150,"C",IF(H86&lt;230,"D",IF(H86&lt;330,"E",IF(H86&lt;=450,"F","D")))))))</f>
        <v>D</v>
      </c>
      <c r="I87" s="337" t="str">
        <f t="shared" si="4"/>
        <v>D</v>
      </c>
      <c r="J87" s="337" t="str">
        <f t="shared" si="4"/>
        <v>D</v>
      </c>
      <c r="K87" s="337" t="str">
        <f t="shared" si="4"/>
        <v>D</v>
      </c>
      <c r="L87" s="337" t="str">
        <f t="shared" si="4"/>
        <v>D</v>
      </c>
      <c r="M87" s="409" t="str">
        <f t="shared" si="4"/>
        <v>D</v>
      </c>
      <c r="N87" s="191" t="str">
        <f t="shared" si="4"/>
        <v>D</v>
      </c>
      <c r="O87" s="190" t="str">
        <f t="shared" si="4"/>
        <v>D</v>
      </c>
      <c r="P87" s="190" t="str">
        <f t="shared" si="4"/>
        <v>D</v>
      </c>
      <c r="Q87" s="190" t="str">
        <f t="shared" si="4"/>
        <v>D</v>
      </c>
      <c r="R87" s="190" t="str">
        <f t="shared" si="4"/>
        <v>D</v>
      </c>
      <c r="S87" s="79"/>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2:84" ht="15" customHeight="1" thickBot="1">
      <c r="B88" s="3027" t="s">
        <v>135</v>
      </c>
      <c r="C88" s="3028"/>
      <c r="D88" s="3028"/>
      <c r="E88" s="3028"/>
      <c r="F88" s="3028"/>
      <c r="G88" s="3028"/>
      <c r="H88" s="3028"/>
      <c r="I88" s="3028"/>
      <c r="J88" s="3028"/>
      <c r="K88" s="3028"/>
      <c r="L88" s="3028"/>
      <c r="M88" s="3029"/>
      <c r="N88" s="3040"/>
      <c r="O88" s="3040"/>
      <c r="P88" s="3040"/>
      <c r="Q88" s="3040"/>
      <c r="R88" s="3040"/>
      <c r="S88" s="79"/>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2:84" ht="15" customHeight="1">
      <c r="B89" s="3053"/>
      <c r="C89" s="3054"/>
      <c r="D89" s="3054"/>
      <c r="E89" s="3055"/>
      <c r="F89" s="419" t="s">
        <v>72</v>
      </c>
      <c r="G89" s="3047" t="s">
        <v>213</v>
      </c>
      <c r="H89" s="3048"/>
      <c r="I89" s="3048"/>
      <c r="J89" s="3048"/>
      <c r="K89" s="3048"/>
      <c r="L89" s="3048"/>
      <c r="M89" s="3049"/>
      <c r="N89" s="95"/>
      <c r="O89" s="95"/>
      <c r="P89" s="95"/>
      <c r="Q89" s="95"/>
      <c r="R89" s="95"/>
      <c r="S89" s="79"/>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2:84" s="1" customFormat="1" ht="15" customHeight="1">
      <c r="B90" s="2903" t="s">
        <v>73</v>
      </c>
      <c r="C90" s="2904"/>
      <c r="D90" s="2904"/>
      <c r="E90" s="405" t="s">
        <v>108</v>
      </c>
      <c r="F90" s="331">
        <f>SUM(G90:R90)</f>
        <v>0</v>
      </c>
      <c r="G90" s="331"/>
      <c r="H90" s="331"/>
      <c r="I90" s="331"/>
      <c r="J90" s="331"/>
      <c r="K90" s="331"/>
      <c r="L90" s="331"/>
      <c r="M90" s="406"/>
      <c r="N90" s="183"/>
      <c r="O90" s="97"/>
      <c r="P90" s="97"/>
      <c r="Q90" s="97"/>
      <c r="R90" s="97"/>
      <c r="S90" s="79"/>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row>
    <row r="91" spans="2:84" s="1" customFormat="1" ht="15" customHeight="1">
      <c r="B91" s="2903" t="s">
        <v>575</v>
      </c>
      <c r="C91" s="2904"/>
      <c r="D91" s="2904"/>
      <c r="E91" s="405" t="s">
        <v>29</v>
      </c>
      <c r="F91" s="332"/>
      <c r="G91" s="407"/>
      <c r="H91" s="407"/>
      <c r="I91" s="407"/>
      <c r="J91" s="407"/>
      <c r="K91" s="407"/>
      <c r="L91" s="407"/>
      <c r="M91" s="408"/>
      <c r="N91" s="184"/>
      <c r="O91" s="98"/>
      <c r="P91" s="98"/>
      <c r="Q91" s="98"/>
      <c r="R91" s="98"/>
      <c r="S91" s="79"/>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row>
    <row r="92" spans="2:84" s="1" customFormat="1" ht="15" customHeight="1">
      <c r="B92" s="3030" t="s">
        <v>136</v>
      </c>
      <c r="C92" s="3031"/>
      <c r="D92" s="3031"/>
      <c r="E92" s="405" t="s">
        <v>29</v>
      </c>
      <c r="F92" s="332"/>
      <c r="G92" s="337"/>
      <c r="H92" s="337"/>
      <c r="I92" s="337"/>
      <c r="J92" s="337"/>
      <c r="K92" s="337"/>
      <c r="L92" s="337"/>
      <c r="M92" s="409"/>
      <c r="N92" s="104"/>
      <c r="O92" s="99"/>
      <c r="P92" s="99"/>
      <c r="Q92" s="99"/>
      <c r="R92" s="99"/>
      <c r="S92" s="79"/>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row>
    <row r="93" spans="2:84" s="1" customFormat="1" ht="15" customHeight="1">
      <c r="B93" s="3030" t="s">
        <v>137</v>
      </c>
      <c r="C93" s="3031"/>
      <c r="D93" s="3031"/>
      <c r="E93" s="405" t="s">
        <v>29</v>
      </c>
      <c r="F93" s="332"/>
      <c r="G93" s="337"/>
      <c r="H93" s="337"/>
      <c r="I93" s="337"/>
      <c r="J93" s="337"/>
      <c r="K93" s="337"/>
      <c r="L93" s="337"/>
      <c r="M93" s="409"/>
      <c r="N93" s="104"/>
      <c r="O93" s="99"/>
      <c r="P93" s="99"/>
      <c r="Q93" s="99"/>
      <c r="R93" s="99"/>
      <c r="S93" s="79"/>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2:84" s="1" customFormat="1" ht="15" customHeight="1">
      <c r="B94" s="3030" t="s">
        <v>198</v>
      </c>
      <c r="C94" s="3031"/>
      <c r="D94" s="3031"/>
      <c r="E94" s="405" t="s">
        <v>29</v>
      </c>
      <c r="F94" s="332"/>
      <c r="G94" s="337"/>
      <c r="H94" s="337"/>
      <c r="I94" s="337"/>
      <c r="J94" s="337"/>
      <c r="K94" s="337"/>
      <c r="L94" s="337"/>
      <c r="M94" s="409"/>
      <c r="N94" s="104"/>
      <c r="O94" s="99"/>
      <c r="P94" s="99"/>
      <c r="Q94" s="99"/>
      <c r="R94" s="99"/>
      <c r="S94" s="79"/>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2:84" s="1" customFormat="1" ht="15" customHeight="1">
      <c r="B95" s="3025" t="s">
        <v>203</v>
      </c>
      <c r="C95" s="3026"/>
      <c r="D95" s="3026"/>
      <c r="E95" s="329" t="s">
        <v>41</v>
      </c>
      <c r="F95" s="332"/>
      <c r="G95" s="337"/>
      <c r="H95" s="337"/>
      <c r="I95" s="337"/>
      <c r="J95" s="337"/>
      <c r="K95" s="337"/>
      <c r="L95" s="337"/>
      <c r="M95" s="409"/>
      <c r="N95" s="104"/>
      <c r="O95" s="99"/>
      <c r="P95" s="99"/>
      <c r="Q95" s="99"/>
      <c r="R95" s="99"/>
      <c r="S95" s="79"/>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row>
    <row r="96" spans="2:84" s="1" customFormat="1" ht="15" customHeight="1">
      <c r="B96" s="3025" t="str">
        <f>IF(E95="oui","Classe énergétique","")</f>
        <v/>
      </c>
      <c r="C96" s="3026"/>
      <c r="D96" s="3026"/>
      <c r="E96" s="413"/>
      <c r="F96" s="332"/>
      <c r="G96" s="337"/>
      <c r="H96" s="337"/>
      <c r="I96" s="337"/>
      <c r="J96" s="337"/>
      <c r="K96" s="337"/>
      <c r="L96" s="337"/>
      <c r="M96" s="409"/>
      <c r="N96" s="104"/>
      <c r="O96" s="99"/>
      <c r="P96" s="99"/>
      <c r="Q96" s="99"/>
      <c r="R96" s="99"/>
      <c r="S96" s="79"/>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row>
    <row r="97" spans="1:84" s="1" customFormat="1" ht="15" customHeight="1">
      <c r="B97" s="2903" t="s">
        <v>354</v>
      </c>
      <c r="C97" s="2904"/>
      <c r="D97" s="2904"/>
      <c r="E97" s="405" t="s">
        <v>53</v>
      </c>
      <c r="F97" s="333" t="str">
        <f>IF(SUM(G97:R97)=0,"",SUM(G97:R97))</f>
        <v/>
      </c>
      <c r="G97" s="337"/>
      <c r="H97" s="337"/>
      <c r="I97" s="337"/>
      <c r="J97" s="337"/>
      <c r="K97" s="337"/>
      <c r="L97" s="337"/>
      <c r="M97" s="409"/>
      <c r="N97" s="104"/>
      <c r="O97" s="99"/>
      <c r="P97" s="99"/>
      <c r="Q97" s="99"/>
      <c r="R97" s="99"/>
      <c r="S97" s="79"/>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s="1" customFormat="1" ht="15" customHeight="1">
      <c r="B98" s="2903" t="s">
        <v>216</v>
      </c>
      <c r="C98" s="2904"/>
      <c r="D98" s="2904"/>
      <c r="E98" s="405" t="s">
        <v>163</v>
      </c>
      <c r="F98" s="334">
        <f t="shared" ref="F98:F105" si="5">SUM(G98:R98)</f>
        <v>0</v>
      </c>
      <c r="G98" s="337"/>
      <c r="H98" s="337"/>
      <c r="I98" s="337"/>
      <c r="J98" s="337"/>
      <c r="K98" s="337"/>
      <c r="L98" s="337"/>
      <c r="M98" s="409"/>
      <c r="N98" s="104"/>
      <c r="O98" s="99"/>
      <c r="P98" s="99"/>
      <c r="Q98" s="99"/>
      <c r="R98" s="99"/>
      <c r="S98" s="79"/>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s="1" customFormat="1" ht="15" customHeight="1">
      <c r="B99" s="2906" t="s">
        <v>212</v>
      </c>
      <c r="C99" s="2907"/>
      <c r="D99" s="2908"/>
      <c r="E99" s="405" t="s">
        <v>163</v>
      </c>
      <c r="F99" s="334">
        <f t="shared" si="5"/>
        <v>0</v>
      </c>
      <c r="G99" s="337"/>
      <c r="H99" s="337"/>
      <c r="I99" s="337"/>
      <c r="J99" s="337"/>
      <c r="K99" s="337"/>
      <c r="L99" s="337"/>
      <c r="M99" s="409"/>
      <c r="N99" s="104"/>
      <c r="O99" s="99"/>
      <c r="P99" s="99"/>
      <c r="Q99" s="99"/>
      <c r="R99" s="99"/>
      <c r="S99" s="79"/>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row>
    <row r="100" spans="1:84" s="1" customFormat="1" ht="15" customHeight="1">
      <c r="B100" s="2906" t="s">
        <v>214</v>
      </c>
      <c r="C100" s="2907"/>
      <c r="D100" s="2908"/>
      <c r="E100" s="405" t="s">
        <v>163</v>
      </c>
      <c r="F100" s="334">
        <f t="shared" si="5"/>
        <v>0</v>
      </c>
      <c r="G100" s="337"/>
      <c r="H100" s="337"/>
      <c r="I100" s="337"/>
      <c r="J100" s="337"/>
      <c r="K100" s="337"/>
      <c r="L100" s="337"/>
      <c r="M100" s="409"/>
      <c r="N100" s="104"/>
      <c r="O100" s="99"/>
      <c r="P100" s="99"/>
      <c r="Q100" s="99"/>
      <c r="R100" s="99"/>
      <c r="S100" s="79"/>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row>
    <row r="101" spans="1:84" s="1" customFormat="1" ht="15" customHeight="1">
      <c r="B101" s="2903" t="s">
        <v>217</v>
      </c>
      <c r="C101" s="2904"/>
      <c r="D101" s="2904"/>
      <c r="E101" s="405" t="s">
        <v>163</v>
      </c>
      <c r="F101" s="334">
        <f t="shared" si="5"/>
        <v>0</v>
      </c>
      <c r="G101" s="337"/>
      <c r="H101" s="337"/>
      <c r="I101" s="337"/>
      <c r="J101" s="337"/>
      <c r="K101" s="337"/>
      <c r="L101" s="337"/>
      <c r="M101" s="409"/>
      <c r="N101" s="104"/>
      <c r="O101" s="99"/>
      <c r="P101" s="99"/>
      <c r="Q101" s="99"/>
      <c r="R101" s="99"/>
      <c r="S101" s="79"/>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s="1" customFormat="1" ht="15" customHeight="1">
      <c r="B102" s="2903" t="s">
        <v>215</v>
      </c>
      <c r="C102" s="2904"/>
      <c r="D102" s="2904"/>
      <c r="E102" s="405" t="s">
        <v>163</v>
      </c>
      <c r="F102" s="335">
        <f t="shared" si="5"/>
        <v>0</v>
      </c>
      <c r="G102" s="337"/>
      <c r="H102" s="337"/>
      <c r="I102" s="337"/>
      <c r="J102" s="337"/>
      <c r="K102" s="337"/>
      <c r="L102" s="337"/>
      <c r="M102" s="409"/>
      <c r="N102" s="104"/>
      <c r="O102" s="99"/>
      <c r="P102" s="99"/>
      <c r="Q102" s="99"/>
      <c r="R102" s="99"/>
      <c r="S102" s="79"/>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s="1" customFormat="1" ht="15" customHeight="1">
      <c r="B103" s="2903" t="s">
        <v>211</v>
      </c>
      <c r="C103" s="2904"/>
      <c r="D103" s="2904"/>
      <c r="E103" s="405" t="s">
        <v>163</v>
      </c>
      <c r="F103" s="335">
        <f t="shared" si="5"/>
        <v>0</v>
      </c>
      <c r="G103" s="337"/>
      <c r="H103" s="337"/>
      <c r="I103" s="337"/>
      <c r="J103" s="337"/>
      <c r="K103" s="337"/>
      <c r="L103" s="337"/>
      <c r="M103" s="409"/>
      <c r="N103" s="104"/>
      <c r="O103" s="99"/>
      <c r="P103" s="99"/>
      <c r="Q103" s="99"/>
      <c r="R103" s="99"/>
      <c r="S103" s="79"/>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row>
    <row r="104" spans="1:84" s="1" customFormat="1" ht="15" customHeight="1">
      <c r="B104" s="2903" t="s">
        <v>204</v>
      </c>
      <c r="C104" s="2904"/>
      <c r="D104" s="2904"/>
      <c r="E104" s="417" t="s">
        <v>163</v>
      </c>
      <c r="F104" s="334">
        <f t="shared" si="5"/>
        <v>0</v>
      </c>
      <c r="G104" s="337" t="str">
        <f>IF(SUM(G98:G103)=0,"",IFERROR(SUM(G98:G103),""))</f>
        <v/>
      </c>
      <c r="H104" s="337" t="str">
        <f t="shared" ref="H104:R104" si="6">IF(SUM(H98:H103)=0,"",IFERROR(SUM(H98:H103),""))</f>
        <v/>
      </c>
      <c r="I104" s="337" t="str">
        <f t="shared" si="6"/>
        <v/>
      </c>
      <c r="J104" s="337" t="str">
        <f t="shared" si="6"/>
        <v/>
      </c>
      <c r="K104" s="337" t="str">
        <f t="shared" si="6"/>
        <v/>
      </c>
      <c r="L104" s="337" t="str">
        <f t="shared" si="6"/>
        <v/>
      </c>
      <c r="M104" s="409" t="str">
        <f t="shared" si="6"/>
        <v/>
      </c>
      <c r="N104" s="191" t="str">
        <f t="shared" si="6"/>
        <v/>
      </c>
      <c r="O104" s="190" t="str">
        <f t="shared" si="6"/>
        <v/>
      </c>
      <c r="P104" s="190" t="str">
        <f t="shared" si="6"/>
        <v/>
      </c>
      <c r="Q104" s="190" t="str">
        <f t="shared" si="6"/>
        <v/>
      </c>
      <c r="R104" s="190" t="str">
        <f t="shared" si="6"/>
        <v/>
      </c>
      <c r="S104" s="79"/>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row>
    <row r="105" spans="1:84" s="1" customFormat="1" ht="15" hidden="1" customHeight="1">
      <c r="B105" s="2903" t="s">
        <v>351</v>
      </c>
      <c r="C105" s="2904"/>
      <c r="D105" s="2904"/>
      <c r="E105" s="417" t="s">
        <v>352</v>
      </c>
      <c r="F105" s="334">
        <f t="shared" si="5"/>
        <v>0</v>
      </c>
      <c r="G105" s="337" t="str">
        <f>IF(G98+G99+G100*2.58+G101*0+G102*0+G103*0=0,"",IFERROR(G98+G99+G100*2.58+G101*0+G102*0+G103*0,""))</f>
        <v/>
      </c>
      <c r="H105" s="337" t="str">
        <f t="shared" ref="H105:R105" si="7">IF(H98+H99+H100*2.58+H101*0+H102*0+H103*0=0,"",IFERROR(H98+H99+H100*2.58+H101*0+H102*0+H103*0,""))</f>
        <v/>
      </c>
      <c r="I105" s="337" t="str">
        <f t="shared" si="7"/>
        <v/>
      </c>
      <c r="J105" s="337" t="str">
        <f t="shared" si="7"/>
        <v/>
      </c>
      <c r="K105" s="337" t="str">
        <f t="shared" si="7"/>
        <v/>
      </c>
      <c r="L105" s="337" t="str">
        <f t="shared" si="7"/>
        <v/>
      </c>
      <c r="M105" s="409" t="str">
        <f t="shared" si="7"/>
        <v/>
      </c>
      <c r="N105" s="191" t="str">
        <f t="shared" si="7"/>
        <v/>
      </c>
      <c r="O105" s="190" t="str">
        <f t="shared" si="7"/>
        <v/>
      </c>
      <c r="P105" s="190" t="str">
        <f t="shared" si="7"/>
        <v/>
      </c>
      <c r="Q105" s="190" t="str">
        <f t="shared" si="7"/>
        <v/>
      </c>
      <c r="R105" s="190" t="str">
        <f t="shared" si="7"/>
        <v/>
      </c>
      <c r="S105" s="79"/>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s="1" customFormat="1" ht="15" hidden="1" customHeight="1">
      <c r="B106" s="2903" t="s">
        <v>349</v>
      </c>
      <c r="C106" s="2904"/>
      <c r="D106" s="2904"/>
      <c r="E106" s="417" t="s">
        <v>353</v>
      </c>
      <c r="F106" s="336" t="str">
        <f>IFERROR(SUM(G106:R106)/F90,"")</f>
        <v/>
      </c>
      <c r="G106" s="336" t="str">
        <f t="shared" ref="G106:R106" si="8">IFERROR(G105/G90,"")</f>
        <v/>
      </c>
      <c r="H106" s="336" t="str">
        <f t="shared" si="8"/>
        <v/>
      </c>
      <c r="I106" s="336" t="str">
        <f t="shared" si="8"/>
        <v/>
      </c>
      <c r="J106" s="336" t="str">
        <f t="shared" si="8"/>
        <v/>
      </c>
      <c r="K106" s="336" t="str">
        <f t="shared" si="8"/>
        <v/>
      </c>
      <c r="L106" s="336" t="str">
        <f t="shared" si="8"/>
        <v/>
      </c>
      <c r="M106" s="410" t="str">
        <f t="shared" si="8"/>
        <v/>
      </c>
      <c r="N106" s="194" t="str">
        <f t="shared" si="8"/>
        <v/>
      </c>
      <c r="O106" s="193" t="str">
        <f t="shared" si="8"/>
        <v/>
      </c>
      <c r="P106" s="193" t="str">
        <f t="shared" si="8"/>
        <v/>
      </c>
      <c r="Q106" s="193" t="str">
        <f t="shared" si="8"/>
        <v/>
      </c>
      <c r="R106" s="193" t="str">
        <f t="shared" si="8"/>
        <v/>
      </c>
      <c r="S106" s="79"/>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s="1" customFormat="1" ht="15" customHeight="1" thickBot="1">
      <c r="B107" s="2903" t="s">
        <v>218</v>
      </c>
      <c r="C107" s="2904"/>
      <c r="D107" s="2904"/>
      <c r="E107" s="420"/>
      <c r="F107" s="337" t="str">
        <f>IF(F106="-","",IF(F106&lt;=50,"A",IF(F106&lt;=90,"B",IF(F106&lt;=150,"C",IF(F106&lt;230,"D",IF(F106&lt;330,"E",IF(F106&lt;=450,"F","D")))))))</f>
        <v>D</v>
      </c>
      <c r="G107" s="337" t="str">
        <f>IF(G106="-","",IF(G106&lt;=50,"A",IF(G106&lt;=90,"B",IF(G106&lt;=150,"C",IF(G106&lt;230,"D",IF(G106&lt;330,"E",IF(G106&lt;=450,"F","D")))))))</f>
        <v>D</v>
      </c>
      <c r="H107" s="337" t="str">
        <f>IF(H106="-","",IF(H106&lt;=50,"A",IF(H106&lt;=90,"B",IF(H106&lt;=150,"C",IF(H106&lt;230,"D",IF(H106&lt;330,"E",IF(H106&lt;=450,"F","D")))))))</f>
        <v>D</v>
      </c>
      <c r="I107" s="337" t="str">
        <f>IF(I106="-","",IF(I106&lt;=50,"A",IF(I106&lt;=90,"B",IF(I106&lt;=150,"C",IF(I106&lt;230,"D",IF(I106&lt;330,"E",IF(I106&lt;=450,"F","D")))))))</f>
        <v>D</v>
      </c>
      <c r="J107" s="337" t="str">
        <f t="shared" ref="J107:R107" si="9">IF(J106="-","",IF(J106&lt;=50,"A",IF(J106&lt;=90,"B",IF(J106&lt;=150,"C",IF(J106&lt;230,"D",IF(J106&lt;330,"E",IF(J106&lt;=450,"F","D")))))))</f>
        <v>D</v>
      </c>
      <c r="K107" s="337" t="str">
        <f t="shared" si="9"/>
        <v>D</v>
      </c>
      <c r="L107" s="337" t="str">
        <f t="shared" si="9"/>
        <v>D</v>
      </c>
      <c r="M107" s="409" t="str">
        <f t="shared" si="9"/>
        <v>D</v>
      </c>
      <c r="N107" s="191" t="str">
        <f t="shared" si="9"/>
        <v>D</v>
      </c>
      <c r="O107" s="190" t="str">
        <f t="shared" si="9"/>
        <v>D</v>
      </c>
      <c r="P107" s="190" t="str">
        <f t="shared" si="9"/>
        <v>D</v>
      </c>
      <c r="Q107" s="190" t="str">
        <f t="shared" si="9"/>
        <v>D</v>
      </c>
      <c r="R107" s="190" t="str">
        <f t="shared" si="9"/>
        <v>D</v>
      </c>
      <c r="S107" s="79"/>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row>
    <row r="108" spans="1:84" s="1" customFormat="1" ht="17.25" customHeight="1" thickBot="1">
      <c r="B108" s="2123" t="s">
        <v>199</v>
      </c>
      <c r="C108" s="2124"/>
      <c r="D108" s="2124"/>
      <c r="E108" s="2124"/>
      <c r="F108" s="2124"/>
      <c r="G108" s="2124"/>
      <c r="H108" s="2124"/>
      <c r="I108" s="2124"/>
      <c r="J108" s="2124"/>
      <c r="K108" s="2124"/>
      <c r="L108" s="2124"/>
      <c r="M108" s="2125"/>
      <c r="N108" s="80"/>
      <c r="O108" s="80"/>
      <c r="P108" s="80"/>
      <c r="Q108" s="80"/>
      <c r="R108" s="80"/>
      <c r="S108" s="8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row>
    <row r="109" spans="1:84" s="1" customFormat="1" ht="15" customHeight="1">
      <c r="B109" s="421"/>
      <c r="C109" s="2116"/>
      <c r="D109" s="2116"/>
      <c r="E109" s="2116"/>
      <c r="F109" s="2116"/>
      <c r="G109" s="2116"/>
      <c r="H109" s="2116"/>
      <c r="I109" s="2116"/>
      <c r="J109" s="2116"/>
      <c r="K109" s="2116"/>
      <c r="L109" s="2116"/>
      <c r="M109" s="422"/>
      <c r="N109" s="38"/>
      <c r="O109" s="38"/>
      <c r="P109" s="38"/>
      <c r="Q109" s="38"/>
      <c r="R109" s="38"/>
      <c r="S109" s="61"/>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row>
    <row r="110" spans="1:84" s="1" customFormat="1">
      <c r="B110" s="423"/>
      <c r="C110" s="1945"/>
      <c r="D110" s="1945"/>
      <c r="E110" s="1945"/>
      <c r="F110" s="1945"/>
      <c r="G110" s="1945"/>
      <c r="H110" s="1945"/>
      <c r="I110" s="1945"/>
      <c r="J110" s="1945"/>
      <c r="K110" s="1945"/>
      <c r="L110" s="1945"/>
      <c r="M110" s="424"/>
      <c r="N110" s="4"/>
      <c r="O110" s="4"/>
      <c r="P110" s="4"/>
      <c r="Q110" s="4"/>
      <c r="R110" s="4"/>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s="1" customFormat="1" ht="15" thickBot="1">
      <c r="B111" s="425"/>
      <c r="C111" s="2896"/>
      <c r="D111" s="2896"/>
      <c r="E111" s="2896"/>
      <c r="F111" s="2896"/>
      <c r="G111" s="2896"/>
      <c r="H111" s="2896"/>
      <c r="I111" s="2896"/>
      <c r="J111" s="2896"/>
      <c r="K111" s="2896"/>
      <c r="L111" s="2896"/>
      <c r="M111" s="426"/>
      <c r="N111" s="4"/>
      <c r="O111" s="4"/>
      <c r="P111" s="4"/>
      <c r="Q111" s="4"/>
      <c r="R111" s="4"/>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s="1" customFormat="1">
      <c r="A112" s="37"/>
      <c r="B112" s="427"/>
      <c r="C112" s="427"/>
      <c r="D112" s="427"/>
      <c r="E112" s="428"/>
      <c r="F112" s="429"/>
      <c r="G112" s="430"/>
      <c r="H112" s="430"/>
      <c r="I112" s="431"/>
      <c r="J112" s="430"/>
      <c r="K112" s="430"/>
      <c r="L112" s="430"/>
      <c r="M112" s="430"/>
      <c r="N112" s="4"/>
      <c r="O112" s="4"/>
      <c r="P112" s="4"/>
      <c r="Q112" s="4"/>
      <c r="R112" s="4"/>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row>
    <row r="113" spans="1:84" s="1" customFormat="1">
      <c r="A113" s="37"/>
      <c r="B113" s="427"/>
      <c r="C113" s="427"/>
      <c r="D113" s="427"/>
      <c r="E113" s="428"/>
      <c r="F113" s="429"/>
      <c r="G113" s="430"/>
      <c r="H113" s="430"/>
      <c r="I113" s="431"/>
      <c r="J113" s="430"/>
      <c r="K113" s="430"/>
      <c r="L113" s="430"/>
      <c r="M113" s="430"/>
      <c r="N113" s="4"/>
      <c r="O113" s="4"/>
      <c r="P113" s="4"/>
      <c r="Q113" s="4"/>
      <c r="R113" s="4"/>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row>
    <row r="114" spans="1:84" s="1" customFormat="1" ht="15" customHeight="1" thickBot="1">
      <c r="A114" s="16"/>
      <c r="B114" s="432"/>
      <c r="C114" s="432"/>
      <c r="D114" s="432"/>
      <c r="E114" s="433"/>
      <c r="F114" s="431"/>
      <c r="G114" s="431"/>
      <c r="H114" s="431"/>
      <c r="I114" s="431"/>
      <c r="J114" s="431"/>
      <c r="K114" s="431"/>
      <c r="L114" s="431"/>
      <c r="M114" s="431"/>
      <c r="N114" s="39"/>
      <c r="O114" s="39"/>
      <c r="P114" s="39"/>
      <c r="Q114" s="39"/>
      <c r="R114" s="39"/>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row>
    <row r="115" spans="1:84" ht="24.75" customHeight="1" thickBot="1">
      <c r="B115" s="2126" t="s">
        <v>361</v>
      </c>
      <c r="C115" s="2127"/>
      <c r="D115" s="2127"/>
      <c r="E115" s="2127"/>
      <c r="F115" s="2127"/>
      <c r="G115" s="2127"/>
      <c r="H115" s="2127"/>
      <c r="I115" s="2127"/>
      <c r="J115" s="2127"/>
      <c r="K115" s="2127"/>
      <c r="L115" s="2127"/>
      <c r="M115" s="2128"/>
      <c r="N115" s="44"/>
      <c r="O115" s="44"/>
      <c r="P115" s="44"/>
      <c r="Q115" s="44"/>
      <c r="R115" s="44"/>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customHeight="1">
      <c r="B116" s="2948" t="s">
        <v>17</v>
      </c>
      <c r="C116" s="2949"/>
      <c r="D116" s="2949"/>
      <c r="E116" s="2949"/>
      <c r="F116" s="2949"/>
      <c r="G116" s="2949"/>
      <c r="H116" s="2949"/>
      <c r="I116" s="2949"/>
      <c r="J116" s="2949"/>
      <c r="K116" s="2949"/>
      <c r="L116" s="2949"/>
      <c r="M116" s="2950"/>
      <c r="N116" s="45"/>
      <c r="O116" s="45"/>
      <c r="P116" s="45"/>
      <c r="Q116" s="45"/>
      <c r="R116" s="45"/>
      <c r="S116" s="6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customHeight="1">
      <c r="B117" s="2906" t="s">
        <v>27</v>
      </c>
      <c r="C117" s="2907"/>
      <c r="D117" s="2907"/>
      <c r="E117" s="2908"/>
      <c r="F117" s="338" t="s">
        <v>28</v>
      </c>
      <c r="G117" s="434" t="str">
        <f>IFERROR(F97/1000,"")</f>
        <v/>
      </c>
      <c r="H117" s="435" t="str">
        <f>IFERROR(IF(G117*1000&lt;&gt;F97, "attention puissance appelée et nominale de l'installation différentes",""),"")</f>
        <v/>
      </c>
      <c r="I117" s="436"/>
      <c r="J117" s="436"/>
      <c r="K117" s="436"/>
      <c r="L117" s="436"/>
      <c r="M117" s="437"/>
      <c r="N117" s="27"/>
      <c r="O117" s="27"/>
      <c r="P117" s="27"/>
      <c r="Q117" s="27"/>
      <c r="R117" s="27"/>
      <c r="S117" s="6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customHeight="1">
      <c r="B118" s="2906" t="s">
        <v>36</v>
      </c>
      <c r="C118" s="2907"/>
      <c r="D118" s="2907"/>
      <c r="E118" s="2908"/>
      <c r="F118" s="338" t="s">
        <v>28</v>
      </c>
      <c r="G118" s="438"/>
      <c r="H118" s="439" t="str">
        <f>IFERROR(IF((G118/G117)&lt;0.95,IF((G118/G117)&lt;0.85,"Votre installation nécessite un appoint","Votre installation nécessite un ballon d'accumulation"),""),"")</f>
        <v/>
      </c>
      <c r="I118" s="440"/>
      <c r="J118" s="440"/>
      <c r="K118" s="440"/>
      <c r="L118" s="440"/>
      <c r="M118" s="441"/>
      <c r="N118" s="27"/>
      <c r="O118" s="27"/>
      <c r="P118" s="27"/>
      <c r="Q118" s="27"/>
      <c r="R118" s="27"/>
      <c r="S118" s="6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customHeight="1">
      <c r="B119" s="2906" t="s">
        <v>166</v>
      </c>
      <c r="C119" s="2907"/>
      <c r="D119" s="2907"/>
      <c r="E119" s="2908"/>
      <c r="F119" s="442" t="s">
        <v>29</v>
      </c>
      <c r="G119" s="443">
        <f>F91</f>
        <v>0</v>
      </c>
      <c r="H119" s="439" t="str">
        <f>IFERROR(IF(G119*G121/G118&lt;1800," la chaudière ne sera pas assez utilisée",IF(G119*G121/G118&gt;1990, "le temps d'utilisation de la chaudière est optimal","")),"")</f>
        <v/>
      </c>
      <c r="I119" s="440"/>
      <c r="J119" s="440"/>
      <c r="K119" s="440"/>
      <c r="L119" s="440"/>
      <c r="M119" s="441"/>
      <c r="N119" s="27"/>
      <c r="O119" s="27"/>
      <c r="P119" s="27"/>
      <c r="Q119" s="27"/>
      <c r="R119" s="27"/>
      <c r="S119" s="6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customHeight="1">
      <c r="B120" s="2906" t="s">
        <v>35</v>
      </c>
      <c r="C120" s="2907"/>
      <c r="D120" s="2907"/>
      <c r="E120" s="2908"/>
      <c r="F120" s="442" t="s">
        <v>29</v>
      </c>
      <c r="G120" s="339"/>
      <c r="H120" s="340" t="str">
        <f>IFERROR(IF((G120/G119)&lt;0.9, "La production ne couvre que "&amp; ROUND(((G120/G119)-1)*100,2)&amp;" % des besoins", IF((G120/G119)&gt;1.1,"Surproduction de "&amp;ROUND( ((G120/G119)-1)*100,2) &amp;" % des besoins","")),"")</f>
        <v/>
      </c>
      <c r="I120" s="440"/>
      <c r="J120" s="440"/>
      <c r="K120" s="440"/>
      <c r="L120" s="440"/>
      <c r="M120" s="441"/>
      <c r="N120" s="27"/>
      <c r="O120" s="27"/>
      <c r="P120" s="27"/>
      <c r="Q120" s="27"/>
      <c r="R120" s="27"/>
      <c r="S120" s="6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customHeight="1">
      <c r="B121" s="2906" t="s">
        <v>34</v>
      </c>
      <c r="C121" s="2907"/>
      <c r="D121" s="2907"/>
      <c r="E121" s="2908"/>
      <c r="F121" s="444" t="s">
        <v>30</v>
      </c>
      <c r="G121" s="445" t="str">
        <f>IFERROR(G120/G119,"")</f>
        <v/>
      </c>
      <c r="H121" s="439" t="str">
        <f>IFERROR(IF(G121="", "",IF(G121&lt;1,IF(G121&lt;0.65,"Votre installation couvre moins de 65% des besoins","Votre installation nécessite un appoint"),IF(G121&gt;1,"La centrale est surdimensionnée",""))),"")</f>
        <v/>
      </c>
      <c r="I121" s="440"/>
      <c r="J121" s="440"/>
      <c r="K121" s="440"/>
      <c r="L121" s="440"/>
      <c r="M121" s="441"/>
      <c r="N121" s="27"/>
      <c r="O121" s="27"/>
      <c r="P121" s="27"/>
      <c r="Q121" s="27"/>
      <c r="R121" s="27"/>
      <c r="S121" s="6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customHeight="1">
      <c r="B122" s="2906" t="s">
        <v>222</v>
      </c>
      <c r="C122" s="2907"/>
      <c r="D122" s="2907"/>
      <c r="E122" s="2908"/>
      <c r="F122" s="444"/>
      <c r="G122" s="445"/>
      <c r="H122" s="439"/>
      <c r="I122" s="440"/>
      <c r="J122" s="440"/>
      <c r="K122" s="440"/>
      <c r="L122" s="440"/>
      <c r="M122" s="441"/>
      <c r="N122" s="27"/>
      <c r="O122" s="27"/>
      <c r="P122" s="27"/>
      <c r="Q122" s="27"/>
      <c r="R122" s="27"/>
      <c r="S122" s="6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customHeight="1">
      <c r="B123" s="2906" t="s">
        <v>33</v>
      </c>
      <c r="C123" s="2907"/>
      <c r="D123" s="2907"/>
      <c r="E123" s="2908"/>
      <c r="F123" s="446" t="s">
        <v>221</v>
      </c>
      <c r="G123" s="447"/>
      <c r="H123" s="340" t="str">
        <f>IFERROR("le rendement est de "&amp;ROUND((G120/G123)*100,2)&amp;" % pour l'installation biomasse","")</f>
        <v/>
      </c>
      <c r="I123" s="440"/>
      <c r="J123" s="440"/>
      <c r="K123" s="440"/>
      <c r="L123" s="440"/>
      <c r="M123" s="441"/>
      <c r="N123" s="27"/>
      <c r="O123" s="27"/>
      <c r="P123" s="27"/>
      <c r="Q123" s="27"/>
      <c r="R123" s="27"/>
      <c r="S123" s="6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customHeight="1">
      <c r="B124" s="2906" t="s">
        <v>32</v>
      </c>
      <c r="C124" s="2907"/>
      <c r="D124" s="2907"/>
      <c r="E124" s="2908"/>
      <c r="F124" s="448" t="s">
        <v>184</v>
      </c>
      <c r="G124" s="449"/>
      <c r="H124" s="450" t="s">
        <v>219</v>
      </c>
      <c r="I124" s="440"/>
      <c r="J124" s="440"/>
      <c r="K124" s="440"/>
      <c r="L124" s="440"/>
      <c r="M124" s="441"/>
      <c r="N124" s="51"/>
      <c r="O124" s="51"/>
      <c r="P124" s="51"/>
      <c r="Q124" s="51"/>
      <c r="R124" s="51"/>
      <c r="S124" s="6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customHeight="1">
      <c r="B125" s="2906" t="s">
        <v>167</v>
      </c>
      <c r="C125" s="2907"/>
      <c r="D125" s="2907"/>
      <c r="E125" s="2907"/>
      <c r="F125" s="451">
        <v>1</v>
      </c>
      <c r="G125" s="452">
        <v>1</v>
      </c>
      <c r="H125" s="453">
        <v>2</v>
      </c>
      <c r="I125" s="454">
        <v>3</v>
      </c>
      <c r="J125" s="453">
        <v>4</v>
      </c>
      <c r="K125" s="453">
        <v>5</v>
      </c>
      <c r="L125" s="453">
        <v>6</v>
      </c>
      <c r="M125" s="455">
        <v>7</v>
      </c>
      <c r="N125" s="192">
        <v>8</v>
      </c>
      <c r="O125" s="67">
        <v>9</v>
      </c>
      <c r="P125" s="67">
        <v>10</v>
      </c>
      <c r="Q125" s="67">
        <v>11</v>
      </c>
      <c r="R125" s="67">
        <v>12</v>
      </c>
      <c r="S125" s="6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customHeight="1">
      <c r="B126" s="2906" t="s">
        <v>37</v>
      </c>
      <c r="C126" s="2907"/>
      <c r="D126" s="2907"/>
      <c r="E126" s="2908"/>
      <c r="F126" s="456" t="s">
        <v>28</v>
      </c>
      <c r="G126" s="457"/>
      <c r="H126" s="453"/>
      <c r="I126" s="453"/>
      <c r="J126" s="453"/>
      <c r="K126" s="453"/>
      <c r="L126" s="453"/>
      <c r="M126" s="455"/>
      <c r="N126" s="198"/>
      <c r="O126" s="105"/>
      <c r="P126" s="105"/>
      <c r="Q126" s="105"/>
      <c r="R126" s="105"/>
      <c r="S126" s="6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customHeight="1">
      <c r="B127" s="2906" t="s">
        <v>38</v>
      </c>
      <c r="C127" s="2907"/>
      <c r="D127" s="2907"/>
      <c r="E127" s="2908"/>
      <c r="F127" s="458" t="s">
        <v>31</v>
      </c>
      <c r="G127" s="459"/>
      <c r="H127" s="459"/>
      <c r="I127" s="459"/>
      <c r="J127" s="459"/>
      <c r="K127" s="459"/>
      <c r="L127" s="459"/>
      <c r="M127" s="460"/>
      <c r="N127" s="199"/>
      <c r="O127" s="106"/>
      <c r="P127" s="106"/>
      <c r="Q127" s="106"/>
      <c r="R127" s="106"/>
      <c r="S127" s="6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customHeight="1">
      <c r="B128" s="2906" t="s">
        <v>109</v>
      </c>
      <c r="C128" s="2907"/>
      <c r="D128" s="2907"/>
      <c r="E128" s="2908"/>
      <c r="F128" s="458"/>
      <c r="G128" s="461"/>
      <c r="H128" s="453"/>
      <c r="I128" s="453"/>
      <c r="J128" s="453"/>
      <c r="K128" s="453"/>
      <c r="L128" s="453"/>
      <c r="M128" s="455"/>
      <c r="N128" s="200"/>
      <c r="O128" s="107"/>
      <c r="P128" s="107"/>
      <c r="Q128" s="107"/>
      <c r="R128" s="107"/>
      <c r="S128" s="6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2:84" ht="15" customHeight="1">
      <c r="B129" s="2906" t="s">
        <v>110</v>
      </c>
      <c r="C129" s="2907"/>
      <c r="D129" s="2907"/>
      <c r="E129" s="2908"/>
      <c r="F129" s="458"/>
      <c r="G129" s="461" t="s">
        <v>111</v>
      </c>
      <c r="H129" s="453"/>
      <c r="I129" s="453"/>
      <c r="J129" s="453"/>
      <c r="K129" s="453"/>
      <c r="L129" s="453"/>
      <c r="M129" s="455"/>
      <c r="N129" s="200"/>
      <c r="O129" s="107"/>
      <c r="P129" s="107"/>
      <c r="Q129" s="107"/>
      <c r="R129" s="107"/>
      <c r="S129" s="6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2:84" ht="15" customHeight="1">
      <c r="B130" s="2906" t="s">
        <v>18</v>
      </c>
      <c r="C130" s="2907"/>
      <c r="D130" s="2907"/>
      <c r="E130" s="2908"/>
      <c r="F130" s="458"/>
      <c r="G130" s="461" t="s">
        <v>112</v>
      </c>
      <c r="H130" s="453"/>
      <c r="I130" s="453"/>
      <c r="J130" s="453"/>
      <c r="K130" s="453"/>
      <c r="L130" s="453"/>
      <c r="M130" s="455"/>
      <c r="N130" s="200"/>
      <c r="O130" s="107"/>
      <c r="P130" s="107"/>
      <c r="Q130" s="107"/>
      <c r="R130" s="107"/>
      <c r="S130" s="6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2:84" ht="15" customHeight="1">
      <c r="B131" s="3019" t="s">
        <v>19</v>
      </c>
      <c r="C131" s="3020"/>
      <c r="D131" s="3020"/>
      <c r="E131" s="3020"/>
      <c r="F131" s="2909"/>
      <c r="G131" s="3020"/>
      <c r="H131" s="3020"/>
      <c r="I131" s="3020"/>
      <c r="J131" s="3020"/>
      <c r="K131" s="3020"/>
      <c r="L131" s="3020"/>
      <c r="M131" s="3021"/>
      <c r="N131" s="46"/>
      <c r="O131" s="46"/>
      <c r="P131" s="46"/>
      <c r="Q131" s="46"/>
      <c r="R131" s="46"/>
      <c r="S131" s="6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2:84" ht="15" customHeight="1">
      <c r="B132" s="2906" t="s">
        <v>168</v>
      </c>
      <c r="C132" s="2907"/>
      <c r="D132" s="2907"/>
      <c r="E132" s="2907"/>
      <c r="F132" s="462">
        <v>3</v>
      </c>
      <c r="G132" s="452">
        <v>1</v>
      </c>
      <c r="H132" s="453">
        <v>2</v>
      </c>
      <c r="I132" s="453">
        <v>3</v>
      </c>
      <c r="J132" s="453">
        <v>4</v>
      </c>
      <c r="K132" s="453">
        <v>5</v>
      </c>
      <c r="L132" s="453">
        <v>6</v>
      </c>
      <c r="M132" s="455">
        <v>7</v>
      </c>
      <c r="N132" s="192">
        <v>8</v>
      </c>
      <c r="O132" s="67">
        <v>9</v>
      </c>
      <c r="P132" s="67">
        <v>10</v>
      </c>
      <c r="Q132" s="67">
        <v>11</v>
      </c>
      <c r="R132" s="67">
        <v>12</v>
      </c>
      <c r="S132" s="6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2:84" ht="15" customHeight="1">
      <c r="B133" s="2906" t="s">
        <v>20</v>
      </c>
      <c r="C133" s="2907"/>
      <c r="D133" s="2907"/>
      <c r="E133" s="2908"/>
      <c r="F133" s="463"/>
      <c r="G133" s="464" t="s">
        <v>148</v>
      </c>
      <c r="H133" s="464"/>
      <c r="I133" s="464"/>
      <c r="J133" s="464"/>
      <c r="K133" s="464"/>
      <c r="L133" s="464"/>
      <c r="M133" s="465"/>
      <c r="N133" s="201"/>
      <c r="O133" s="108"/>
      <c r="P133" s="108"/>
      <c r="Q133" s="108"/>
      <c r="R133" s="108"/>
      <c r="S133" s="6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2:84" ht="15" customHeight="1">
      <c r="B134" s="2906" t="s">
        <v>77</v>
      </c>
      <c r="C134" s="2907"/>
      <c r="D134" s="2907"/>
      <c r="E134" s="2908"/>
      <c r="F134" s="466" t="s">
        <v>28</v>
      </c>
      <c r="G134" s="464"/>
      <c r="H134" s="464"/>
      <c r="I134" s="464"/>
      <c r="J134" s="464"/>
      <c r="K134" s="464"/>
      <c r="L134" s="464"/>
      <c r="M134" s="465"/>
      <c r="N134" s="202"/>
      <c r="O134" s="109"/>
      <c r="P134" s="109"/>
      <c r="Q134" s="109"/>
      <c r="R134" s="109"/>
      <c r="S134" s="6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2:84" ht="15" customHeight="1">
      <c r="B135" s="2906" t="s">
        <v>38</v>
      </c>
      <c r="C135" s="2907"/>
      <c r="D135" s="2907"/>
      <c r="E135" s="2908"/>
      <c r="F135" s="466" t="s">
        <v>31</v>
      </c>
      <c r="G135" s="464"/>
      <c r="H135" s="464"/>
      <c r="I135" s="464"/>
      <c r="J135" s="464"/>
      <c r="K135" s="464"/>
      <c r="L135" s="464"/>
      <c r="M135" s="465"/>
      <c r="N135" s="202"/>
      <c r="O135" s="109"/>
      <c r="P135" s="109"/>
      <c r="Q135" s="109"/>
      <c r="R135" s="109"/>
      <c r="S135" s="6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2:84" ht="15" customHeight="1">
      <c r="B136" s="2906" t="s">
        <v>78</v>
      </c>
      <c r="C136" s="2907"/>
      <c r="D136" s="2907"/>
      <c r="E136" s="2908"/>
      <c r="F136" s="466" t="s">
        <v>31</v>
      </c>
      <c r="G136" s="464"/>
      <c r="H136" s="464"/>
      <c r="I136" s="464"/>
      <c r="J136" s="464"/>
      <c r="K136" s="464"/>
      <c r="L136" s="464"/>
      <c r="M136" s="465"/>
      <c r="N136" s="202"/>
      <c r="O136" s="109"/>
      <c r="P136" s="109"/>
      <c r="Q136" s="109"/>
      <c r="R136" s="109"/>
      <c r="S136" s="6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2:84" ht="15" customHeight="1">
      <c r="B137" s="3022" t="s">
        <v>79</v>
      </c>
      <c r="C137" s="3023"/>
      <c r="D137" s="3023"/>
      <c r="E137" s="3024"/>
      <c r="F137" s="467" t="s">
        <v>80</v>
      </c>
      <c r="G137" s="468"/>
      <c r="H137" s="468"/>
      <c r="I137" s="468"/>
      <c r="J137" s="468"/>
      <c r="K137" s="468"/>
      <c r="L137" s="468"/>
      <c r="M137" s="469"/>
      <c r="N137" s="202"/>
      <c r="O137" s="109"/>
      <c r="P137" s="109"/>
      <c r="Q137" s="109"/>
      <c r="R137" s="109"/>
      <c r="S137" s="6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2:84" ht="15" customHeight="1">
      <c r="B138" s="2909" t="s">
        <v>39</v>
      </c>
      <c r="C138" s="2909"/>
      <c r="D138" s="2909"/>
      <c r="E138" s="2909"/>
      <c r="F138" s="2909"/>
      <c r="G138" s="470" t="s">
        <v>333</v>
      </c>
      <c r="H138" s="2909" t="s">
        <v>223</v>
      </c>
      <c r="I138" s="2909"/>
      <c r="J138" s="2909"/>
      <c r="K138" s="2909"/>
      <c r="L138" s="2909"/>
      <c r="M138" s="470" t="s">
        <v>333</v>
      </c>
      <c r="N138" s="180"/>
      <c r="O138" s="4"/>
      <c r="P138" s="4"/>
      <c r="Q138" s="4"/>
      <c r="R138" s="4"/>
      <c r="S138" s="6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2:84" ht="15" customHeight="1" thickBot="1">
      <c r="B139" s="2914" t="s">
        <v>173</v>
      </c>
      <c r="C139" s="2914"/>
      <c r="D139" s="2914"/>
      <c r="E139" s="2914"/>
      <c r="F139" s="471"/>
      <c r="G139" s="472" t="str">
        <f>IFERROR(#REF!,"")</f>
        <v/>
      </c>
      <c r="H139" s="3043" t="s">
        <v>332</v>
      </c>
      <c r="I139" s="3044"/>
      <c r="J139" s="3044"/>
      <c r="K139" s="3044"/>
      <c r="L139" s="473"/>
      <c r="M139" s="474">
        <v>20</v>
      </c>
      <c r="N139" s="180"/>
      <c r="O139" s="4"/>
      <c r="P139" s="4"/>
      <c r="Q139" s="4"/>
      <c r="R139" s="4"/>
      <c r="S139" s="6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2:84" ht="15" customHeight="1">
      <c r="B140" s="2122" t="s">
        <v>336</v>
      </c>
      <c r="C140" s="2122"/>
      <c r="D140" s="2122"/>
      <c r="E140" s="2122"/>
      <c r="F140" s="456"/>
      <c r="G140" s="2892" t="str">
        <f>IFERROR(#REF!,"")</f>
        <v/>
      </c>
      <c r="H140" s="2946" t="s">
        <v>23</v>
      </c>
      <c r="I140" s="2130"/>
      <c r="J140" s="2130"/>
      <c r="K140" s="2947"/>
      <c r="L140" s="475"/>
      <c r="M140" s="476" t="e">
        <f>SUM(#REF!)+G136*G137+H136*H137+I136*I137+J136*J137+K136*K137+L136*L137+M136*M137+N136*N137+O136*O137+P136*P137+Q136*Q137+R136*R137</f>
        <v>#REF!</v>
      </c>
      <c r="N140" s="181"/>
      <c r="O140" s="4"/>
      <c r="P140" s="4"/>
      <c r="Q140" s="4"/>
      <c r="R140" s="4"/>
      <c r="S140" s="6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2:84" ht="15" customHeight="1">
      <c r="B141" s="2914" t="s">
        <v>170</v>
      </c>
      <c r="C141" s="2914"/>
      <c r="D141" s="2914"/>
      <c r="E141" s="2914"/>
      <c r="F141" s="471"/>
      <c r="G141" s="2893"/>
      <c r="H141" s="1948" t="s">
        <v>24</v>
      </c>
      <c r="I141" s="1937"/>
      <c r="J141" s="1937"/>
      <c r="K141" s="2945"/>
      <c r="L141" s="477"/>
      <c r="M141" s="478" t="e">
        <f>#REF!</f>
        <v>#REF!</v>
      </c>
      <c r="N141" s="180"/>
      <c r="O141" s="4"/>
      <c r="P141" s="4"/>
      <c r="Q141" s="4"/>
      <c r="R141" s="4"/>
      <c r="S141" s="6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2:84" ht="15" customHeight="1">
      <c r="B142" s="2122" t="s">
        <v>21</v>
      </c>
      <c r="C142" s="2122"/>
      <c r="D142" s="2122"/>
      <c r="E142" s="2122"/>
      <c r="F142" s="456"/>
      <c r="G142" s="2892" t="str">
        <f>IFERROR(#REF!,"")</f>
        <v/>
      </c>
      <c r="H142" s="1948" t="s">
        <v>25</v>
      </c>
      <c r="I142" s="1937"/>
      <c r="J142" s="1937"/>
      <c r="K142" s="2945"/>
      <c r="L142" s="477"/>
      <c r="M142" s="478" t="e">
        <f>#REF!</f>
        <v>#REF!</v>
      </c>
      <c r="N142" s="180"/>
      <c r="O142" s="4"/>
      <c r="P142" s="4"/>
      <c r="Q142" s="4"/>
      <c r="R142" s="4"/>
      <c r="S142" s="6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2:84" ht="15" customHeight="1">
      <c r="B143" s="2914" t="s">
        <v>337</v>
      </c>
      <c r="C143" s="2914"/>
      <c r="D143" s="2914"/>
      <c r="E143" s="2914"/>
      <c r="F143" s="471"/>
      <c r="G143" s="2893"/>
      <c r="H143" s="1948" t="s">
        <v>26</v>
      </c>
      <c r="I143" s="1937"/>
      <c r="J143" s="1937"/>
      <c r="K143" s="2945"/>
      <c r="L143" s="477"/>
      <c r="M143" s="478" t="e">
        <f>#REF!</f>
        <v>#REF!</v>
      </c>
      <c r="N143" s="179"/>
      <c r="O143" s="4"/>
      <c r="P143" s="4"/>
      <c r="Q143" s="1"/>
      <c r="R143" s="1"/>
      <c r="S143" s="6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2:84" ht="15" customHeight="1" thickBot="1">
      <c r="B144" s="2915" t="s">
        <v>22</v>
      </c>
      <c r="C144" s="2915"/>
      <c r="D144" s="2915"/>
      <c r="E144" s="2915"/>
      <c r="F144" s="479"/>
      <c r="G144" s="480" t="str">
        <f>IFERROR(#REF!,"")</f>
        <v/>
      </c>
      <c r="H144" s="2953" t="s">
        <v>172</v>
      </c>
      <c r="I144" s="1939"/>
      <c r="J144" s="1939"/>
      <c r="K144" s="2954"/>
      <c r="L144" s="481"/>
      <c r="M144" s="482" t="e">
        <f>(montant_des_depenses-subventions)/L139</f>
        <v>#DIV/0!</v>
      </c>
      <c r="N144" s="179"/>
      <c r="O144" s="4"/>
      <c r="P144" s="4"/>
      <c r="Q144" s="1"/>
      <c r="R144" s="1"/>
      <c r="S144" s="6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customHeight="1" thickBot="1">
      <c r="B145" s="2916" t="s">
        <v>81</v>
      </c>
      <c r="C145" s="2916"/>
      <c r="D145" s="2916"/>
      <c r="E145" s="2916"/>
      <c r="F145" s="456"/>
      <c r="G145" s="2894"/>
      <c r="H145" s="2921" t="s">
        <v>72</v>
      </c>
      <c r="I145" s="2921"/>
      <c r="J145" s="2921"/>
      <c r="K145" s="2921"/>
      <c r="L145" s="483">
        <f>SUM(L140:L144)</f>
        <v>0</v>
      </c>
      <c r="M145" s="484" t="e">
        <f>SUM(M140:M144)</f>
        <v>#REF!</v>
      </c>
      <c r="N145" s="179"/>
      <c r="O145" s="4"/>
      <c r="P145" s="4"/>
      <c r="Q145" s="1"/>
      <c r="R145" s="1"/>
      <c r="S145" s="6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customHeight="1">
      <c r="B146" s="2917" t="s">
        <v>82</v>
      </c>
      <c r="C146" s="2917"/>
      <c r="D146" s="2917"/>
      <c r="E146" s="2917"/>
      <c r="F146" s="458"/>
      <c r="G146" s="2895"/>
      <c r="H146" s="2910"/>
      <c r="I146" s="2910"/>
      <c r="J146" s="2910"/>
      <c r="K146" s="2910"/>
      <c r="L146" s="2910"/>
      <c r="M146" s="2911"/>
      <c r="N146" s="179"/>
      <c r="O146" s="4"/>
      <c r="P146" s="4"/>
      <c r="Q146" s="179"/>
      <c r="R146" s="179"/>
      <c r="S146" s="6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customHeight="1">
      <c r="B147" s="2917" t="s">
        <v>335</v>
      </c>
      <c r="C147" s="2917"/>
      <c r="D147" s="2917"/>
      <c r="E147" s="2917"/>
      <c r="F147" s="458"/>
      <c r="G147" s="2895"/>
      <c r="H147" s="2910"/>
      <c r="I147" s="2910"/>
      <c r="J147" s="2910"/>
      <c r="K147" s="2910"/>
      <c r="L147" s="2910"/>
      <c r="M147" s="2911"/>
      <c r="N147" s="179"/>
      <c r="O147" s="4"/>
      <c r="P147" s="4"/>
      <c r="Q147" s="1"/>
      <c r="R147" s="1"/>
      <c r="S147" s="6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s="1" customFormat="1" ht="15" customHeight="1">
      <c r="B148" s="2917" t="s">
        <v>338</v>
      </c>
      <c r="C148" s="2917"/>
      <c r="D148" s="2917"/>
      <c r="E148" s="2917"/>
      <c r="F148" s="458"/>
      <c r="G148" s="2895"/>
      <c r="H148" s="2910"/>
      <c r="I148" s="2910"/>
      <c r="J148" s="2910"/>
      <c r="K148" s="2910"/>
      <c r="L148" s="2910"/>
      <c r="M148" s="2911"/>
      <c r="N148" s="4"/>
      <c r="O148" s="4"/>
      <c r="P148" s="4"/>
      <c r="Q148" s="4"/>
      <c r="R148" s="4"/>
      <c r="S148" s="61"/>
    </row>
    <row r="149" spans="1:84" s="3" customFormat="1" ht="15" thickBot="1">
      <c r="A149" s="212"/>
      <c r="B149" s="2918" t="s">
        <v>72</v>
      </c>
      <c r="C149" s="2919"/>
      <c r="D149" s="2919"/>
      <c r="E149" s="2920"/>
      <c r="F149" s="485">
        <f>SUM(F139:F148)</f>
        <v>0</v>
      </c>
      <c r="G149" s="486">
        <f>SUM(G139:G148)</f>
        <v>0</v>
      </c>
      <c r="H149" s="2912"/>
      <c r="I149" s="2912"/>
      <c r="J149" s="2912"/>
      <c r="K149" s="2912"/>
      <c r="L149" s="2912"/>
      <c r="M149" s="2913"/>
      <c r="N149" s="1"/>
      <c r="O149" s="4"/>
      <c r="P149" s="4"/>
      <c r="Q149" s="1"/>
      <c r="R149" s="1"/>
      <c r="S149" s="6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s="3" customFormat="1">
      <c r="A150" s="212"/>
      <c r="B150" s="431"/>
      <c r="C150" s="431"/>
      <c r="D150" s="431"/>
      <c r="E150" s="431"/>
      <c r="F150" s="431"/>
      <c r="G150" s="395"/>
      <c r="H150" s="395"/>
      <c r="I150" s="395"/>
      <c r="J150" s="395"/>
      <c r="K150" s="395"/>
      <c r="L150" s="368"/>
      <c r="M150" s="368"/>
      <c r="N150" s="1"/>
      <c r="O150" s="4"/>
      <c r="P150" s="4"/>
      <c r="Q150" s="1"/>
      <c r="R150" s="1"/>
      <c r="S150" s="6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c r="B151" s="431"/>
      <c r="C151" s="431"/>
      <c r="D151" s="431"/>
      <c r="E151" s="431"/>
      <c r="F151" s="431"/>
      <c r="N151" s="1"/>
      <c r="O151" s="4"/>
      <c r="P151" s="4"/>
      <c r="Q151" s="1"/>
      <c r="R151" s="1"/>
      <c r="S151" s="6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thickBot="1">
      <c r="B152" s="431"/>
      <c r="C152" s="431"/>
      <c r="D152" s="431"/>
      <c r="E152" s="431"/>
      <c r="F152" s="431"/>
      <c r="N152" s="1"/>
      <c r="O152" s="4"/>
      <c r="P152" s="4"/>
      <c r="Q152" s="1"/>
      <c r="R152" s="1"/>
      <c r="S152" s="6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8.600000000000001" thickBot="1">
      <c r="B153" s="2126" t="s">
        <v>362</v>
      </c>
      <c r="C153" s="2127"/>
      <c r="D153" s="2127"/>
      <c r="E153" s="2127"/>
      <c r="F153" s="2127"/>
      <c r="G153" s="2127"/>
      <c r="H153" s="2127"/>
      <c r="I153" s="2127"/>
      <c r="J153" s="2127"/>
      <c r="K153" s="2127"/>
      <c r="L153" s="2127"/>
      <c r="M153" s="2128"/>
      <c r="N153" s="33"/>
      <c r="O153" s="4"/>
      <c r="P153" s="4"/>
      <c r="Q153" s="33"/>
      <c r="R153" s="33"/>
      <c r="S153" s="6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36.75" customHeight="1">
      <c r="B154" s="3017" t="s">
        <v>175</v>
      </c>
      <c r="C154" s="3018"/>
      <c r="D154" s="487" t="s">
        <v>89</v>
      </c>
      <c r="E154" s="488" t="s">
        <v>90</v>
      </c>
      <c r="F154" s="489" t="s">
        <v>104</v>
      </c>
      <c r="I154" s="490"/>
      <c r="J154" s="490"/>
      <c r="K154" s="490"/>
      <c r="L154" s="395"/>
      <c r="M154" s="491"/>
      <c r="N154" s="1"/>
      <c r="O154" s="1"/>
      <c r="P154" s="1"/>
      <c r="Q154" s="1"/>
      <c r="R154" s="1"/>
      <c r="S154" s="29"/>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customHeight="1">
      <c r="B155" s="2925" t="s">
        <v>174</v>
      </c>
      <c r="C155" s="2925"/>
      <c r="D155" s="2925"/>
      <c r="E155" s="2925"/>
      <c r="F155" s="489"/>
      <c r="I155" s="490"/>
      <c r="J155" s="490"/>
      <c r="K155" s="490"/>
      <c r="L155" s="395"/>
      <c r="M155" s="491"/>
      <c r="N155" s="1"/>
      <c r="O155" s="1"/>
      <c r="P155" s="1"/>
      <c r="Q155" s="1"/>
      <c r="R155" s="1"/>
      <c r="S155" s="29"/>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customHeight="1">
      <c r="B156" s="2922" t="s">
        <v>88</v>
      </c>
      <c r="C156" s="2922"/>
      <c r="D156" s="341">
        <v>0</v>
      </c>
      <c r="E156" s="492">
        <f>E169*D156</f>
        <v>0</v>
      </c>
      <c r="F156" s="489"/>
      <c r="I156" s="490"/>
      <c r="J156" s="490"/>
      <c r="K156" s="490"/>
      <c r="L156" s="395"/>
      <c r="M156" s="491"/>
      <c r="N156" s="1"/>
      <c r="O156" s="1"/>
      <c r="P156" s="1"/>
      <c r="Q156" s="1"/>
      <c r="R156" s="1"/>
      <c r="S156" s="29"/>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customHeight="1">
      <c r="B157" s="2922" t="s">
        <v>176</v>
      </c>
      <c r="C157" s="2922"/>
      <c r="D157" s="341">
        <f>D156</f>
        <v>0</v>
      </c>
      <c r="E157" s="492"/>
      <c r="F157" s="489"/>
      <c r="I157" s="490"/>
      <c r="J157" s="490"/>
      <c r="K157" s="490"/>
      <c r="L157" s="395"/>
      <c r="M157" s="491"/>
      <c r="N157" s="1"/>
      <c r="O157" s="1"/>
      <c r="P157" s="1"/>
      <c r="Q157" s="1"/>
      <c r="R157" s="1"/>
      <c r="S157" s="29"/>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customHeight="1">
      <c r="B158" s="2951" t="s">
        <v>339</v>
      </c>
      <c r="C158" s="2951"/>
      <c r="D158" s="341"/>
      <c r="E158" s="492"/>
      <c r="F158" s="489"/>
      <c r="I158" s="490"/>
      <c r="J158" s="490"/>
      <c r="K158" s="490"/>
      <c r="L158" s="395"/>
      <c r="M158" s="491"/>
      <c r="N158" s="1"/>
      <c r="O158" s="1"/>
      <c r="P158" s="1"/>
      <c r="Q158" s="1"/>
      <c r="R158" s="1"/>
      <c r="S158" s="29"/>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customHeight="1">
      <c r="B159" s="2951" t="s">
        <v>340</v>
      </c>
      <c r="C159" s="2951"/>
      <c r="D159" s="341"/>
      <c r="E159" s="492"/>
      <c r="F159" s="489"/>
      <c r="I159" s="490"/>
      <c r="J159" s="490"/>
      <c r="K159" s="490"/>
      <c r="L159" s="395"/>
      <c r="M159" s="491"/>
      <c r="N159" s="1"/>
      <c r="O159" s="1"/>
      <c r="P159" s="1"/>
      <c r="Q159" s="1"/>
      <c r="R159" s="1"/>
      <c r="S159" s="29"/>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customHeight="1">
      <c r="B160" s="2951" t="s">
        <v>341</v>
      </c>
      <c r="C160" s="2951"/>
      <c r="D160" s="341"/>
      <c r="E160" s="492"/>
      <c r="F160" s="489"/>
      <c r="I160" s="490"/>
      <c r="J160" s="490"/>
      <c r="K160" s="490"/>
      <c r="L160" s="395"/>
      <c r="M160" s="491"/>
      <c r="N160" s="1"/>
      <c r="O160" s="1"/>
      <c r="P160" s="1"/>
      <c r="Q160" s="1"/>
      <c r="R160" s="1"/>
      <c r="S160" s="29"/>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2:84">
      <c r="B161" s="2922" t="s">
        <v>177</v>
      </c>
      <c r="C161" s="2922"/>
      <c r="D161" s="381"/>
      <c r="E161" s="492"/>
      <c r="F161" s="489"/>
      <c r="J161" s="490"/>
      <c r="K161" s="490"/>
      <c r="L161" s="395"/>
      <c r="M161" s="491"/>
      <c r="N161" s="1"/>
      <c r="O161" s="1"/>
      <c r="P161" s="1"/>
      <c r="Q161" s="1"/>
      <c r="R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2:84">
      <c r="B162" s="2952" t="s">
        <v>343</v>
      </c>
      <c r="C162" s="2952"/>
      <c r="D162" s="493">
        <f>IFERROR(SUM(D156,D157:D161),"0")</f>
        <v>0</v>
      </c>
      <c r="E162" s="492"/>
      <c r="J162" s="490"/>
      <c r="K162" s="490"/>
      <c r="L162" s="395"/>
      <c r="M162" s="491"/>
      <c r="N162" s="1"/>
      <c r="O162" s="1"/>
      <c r="P162" s="1"/>
      <c r="Q162" s="1"/>
      <c r="R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2:84" ht="33.75" customHeight="1">
      <c r="B163" s="2923" t="s">
        <v>178</v>
      </c>
      <c r="C163" s="2923"/>
      <c r="D163" s="2923"/>
      <c r="E163" s="2923"/>
      <c r="F163" s="494" t="s">
        <v>92</v>
      </c>
      <c r="K163" s="490"/>
      <c r="L163" s="495" t="s">
        <v>91</v>
      </c>
      <c r="M163" s="491"/>
      <c r="N163" s="1"/>
      <c r="O163" s="1"/>
      <c r="P163" s="1"/>
      <c r="Q163" s="1"/>
      <c r="R163" s="1"/>
      <c r="S163" s="29"/>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2:84">
      <c r="B164" s="2924" t="s">
        <v>84</v>
      </c>
      <c r="C164" s="2924"/>
      <c r="D164" s="496">
        <v>0</v>
      </c>
      <c r="E164" s="492">
        <f>($E$169-$E$156)*D164</f>
        <v>0</v>
      </c>
      <c r="F164" s="497" t="str">
        <f>IF(D164&lt;&gt;0, " Catégorie 1A ? (Plaquettes forestières, sensu stricto)","")</f>
        <v/>
      </c>
      <c r="I164" s="498"/>
      <c r="K164" s="490"/>
      <c r="L164" s="342" t="s">
        <v>41</v>
      </c>
      <c r="M164" s="491"/>
      <c r="N164" s="1"/>
      <c r="O164" s="1"/>
      <c r="P164" s="1"/>
      <c r="Q164" s="1"/>
      <c r="R164" s="1"/>
      <c r="S164" s="29"/>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2:84">
      <c r="B165" s="2924" t="s">
        <v>85</v>
      </c>
      <c r="C165" s="2924"/>
      <c r="D165" s="496">
        <v>0</v>
      </c>
      <c r="E165" s="492">
        <f>($E$169-$E$156)*D165</f>
        <v>0</v>
      </c>
      <c r="F165" s="499"/>
      <c r="H165" s="498"/>
      <c r="I165" s="498"/>
      <c r="J165" s="500"/>
      <c r="K165" s="490"/>
      <c r="L165" s="395"/>
      <c r="M165" s="491"/>
      <c r="N165" s="1"/>
      <c r="O165" s="1"/>
      <c r="P165" s="1"/>
      <c r="Q165" s="1"/>
      <c r="R165" s="1"/>
      <c r="S165" s="29"/>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2:84" ht="15" customHeight="1">
      <c r="B166" s="2924" t="s">
        <v>86</v>
      </c>
      <c r="C166" s="2924"/>
      <c r="D166" s="496">
        <v>0</v>
      </c>
      <c r="E166" s="492">
        <f>($E$169-$E$156)*D166</f>
        <v>0</v>
      </c>
      <c r="F166" s="497" t="str">
        <f>IF(D166&lt;&gt;0, " Catégorie 3A ? (bois d'emballage en fin de vie ayant fait l'objet d'une sortie de statut des déchets)","")</f>
        <v/>
      </c>
      <c r="H166" s="498"/>
      <c r="I166" s="498"/>
      <c r="J166" s="500"/>
      <c r="K166" s="490"/>
      <c r="L166" s="342" t="s">
        <v>41</v>
      </c>
      <c r="M166" s="491"/>
      <c r="N166" s="1"/>
      <c r="O166" s="1"/>
      <c r="P166" s="1"/>
      <c r="Q166" s="1"/>
      <c r="R166" s="1"/>
      <c r="S166" s="29"/>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2:84" ht="15" customHeight="1">
      <c r="B167" s="2924" t="s">
        <v>87</v>
      </c>
      <c r="C167" s="2924"/>
      <c r="D167" s="496">
        <v>0</v>
      </c>
      <c r="E167" s="492">
        <f>($E$169-$E$156)*D167</f>
        <v>0</v>
      </c>
      <c r="H167" s="498"/>
      <c r="I167" s="498"/>
      <c r="J167" s="500"/>
      <c r="K167" s="368"/>
      <c r="M167" s="491"/>
      <c r="N167" s="1"/>
      <c r="O167" s="1"/>
      <c r="P167" s="1"/>
      <c r="Q167" s="1"/>
      <c r="R167" s="1"/>
      <c r="S167" s="29"/>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2:84" ht="15" customHeight="1">
      <c r="B168" s="2952" t="s">
        <v>93</v>
      </c>
      <c r="C168" s="2952"/>
      <c r="D168" s="496">
        <f>SUM(D164:D167)</f>
        <v>0</v>
      </c>
      <c r="E168" s="492">
        <f>SUM(E164:E167)</f>
        <v>0</v>
      </c>
      <c r="H168" s="498"/>
      <c r="I168" s="498"/>
      <c r="J168" s="500"/>
      <c r="K168" s="368"/>
      <c r="M168" s="491"/>
      <c r="N168" s="1"/>
      <c r="O168" s="1"/>
      <c r="P168" s="1"/>
      <c r="Q168" s="1"/>
      <c r="R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2:84">
      <c r="B169" s="2952" t="s">
        <v>95</v>
      </c>
      <c r="C169" s="2952"/>
      <c r="D169" s="2952"/>
      <c r="E169" s="492">
        <f>G123</f>
        <v>0</v>
      </c>
      <c r="J169" s="501"/>
      <c r="K169" s="501"/>
      <c r="L169" s="395"/>
      <c r="M169" s="491"/>
      <c r="N169" s="1"/>
      <c r="O169" s="1"/>
      <c r="P169" s="1"/>
      <c r="Q169" s="1"/>
      <c r="R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2:84">
      <c r="B170" s="502"/>
      <c r="C170" s="503"/>
      <c r="D170" s="504"/>
      <c r="G170" s="368"/>
      <c r="H170" s="368"/>
      <c r="I170" s="368"/>
      <c r="J170" s="368"/>
      <c r="K170" s="368"/>
      <c r="M170" s="491"/>
      <c r="N170" s="1"/>
      <c r="O170" s="1"/>
      <c r="P170" s="1"/>
      <c r="Q170" s="1"/>
      <c r="R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2:84">
      <c r="B171" s="505"/>
      <c r="C171" s="506" t="s">
        <v>43</v>
      </c>
      <c r="D171" s="507"/>
      <c r="E171" s="507"/>
      <c r="F171" s="508"/>
      <c r="G171" s="508"/>
      <c r="H171" s="508"/>
      <c r="I171" s="508"/>
      <c r="J171" s="508"/>
      <c r="K171" s="507"/>
      <c r="L171" s="509"/>
      <c r="M171" s="491"/>
      <c r="N171" s="1"/>
      <c r="O171" s="1"/>
      <c r="P171" s="1"/>
      <c r="Q171" s="1"/>
      <c r="R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2:84">
      <c r="B172" s="505"/>
      <c r="C172" s="510" t="str">
        <f>IF(OR(L164="oui",D165&lt;&gt;0), "Au moins "&amp; (E164+E165)*0.13 &amp;" MWh PCI doivent provenir de source certifiée (FSC, PEFC…) dans la part 2017- 1A-PFA et 2017-2-CIB ","")</f>
        <v/>
      </c>
      <c r="F172" s="511"/>
      <c r="G172" s="511"/>
      <c r="H172" s="511"/>
      <c r="I172" s="511"/>
      <c r="J172" s="511"/>
      <c r="L172" s="512"/>
      <c r="M172" s="491"/>
      <c r="N172" s="1"/>
      <c r="O172" s="1"/>
      <c r="P172" s="1"/>
      <c r="Q172" s="1"/>
      <c r="R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2:84">
      <c r="B173" s="505"/>
      <c r="C173" s="510" t="str">
        <f>IF(OR(L166="oui",D165&lt;&gt;0),IF(AND(1200&lt;G120,G120&lt;6000),IF(D164&gt;=0.3,"Critères appro OK","Au moins 30% de l'approvisionnement externe doit être de catégorie 1"),IF(D164&gt;=0.4,"Critères appro OK","Au moins 40% de l'approvisionnement externe doit être de catégorie 1")),IF((D165+D166)=0,"","Critères appro externe OK"))</f>
        <v/>
      </c>
      <c r="F173" s="511"/>
      <c r="G173" s="511"/>
      <c r="H173" s="511"/>
      <c r="I173" s="511"/>
      <c r="J173" s="511"/>
      <c r="L173" s="512"/>
      <c r="M173" s="491"/>
      <c r="N173" s="1"/>
      <c r="O173" s="1"/>
      <c r="P173" s="1"/>
      <c r="Q173" s="1"/>
      <c r="R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2:84">
      <c r="B174" s="505"/>
      <c r="C174" s="510" t="str">
        <f>IF(AND(D167=1,D168=1), "Appro biomasse OK: 100% de granulés", "")</f>
        <v/>
      </c>
      <c r="F174" s="511"/>
      <c r="G174" s="511"/>
      <c r="H174" s="511"/>
      <c r="I174" s="511"/>
      <c r="J174" s="511"/>
      <c r="L174" s="512"/>
      <c r="M174" s="491"/>
      <c r="N174" s="1"/>
      <c r="O174" s="1"/>
      <c r="P174" s="1"/>
      <c r="Q174" s="1"/>
      <c r="R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2:84">
      <c r="B175" s="355"/>
      <c r="C175" s="513" t="str">
        <f>IF(D168=1,"", "Il y a une erreur dans la répartition de l'approvisionnement externe: le total n'est pas à 100%")</f>
        <v>Il y a une erreur dans la répartition de l'approvisionnement externe: le total n'est pas à 100%</v>
      </c>
      <c r="F175" s="500"/>
      <c r="G175" s="500"/>
      <c r="H175" s="500"/>
      <c r="I175" s="500"/>
      <c r="J175" s="500"/>
      <c r="L175" s="512"/>
      <c r="M175" s="491"/>
      <c r="N175" s="1"/>
      <c r="O175" s="1"/>
      <c r="P175" s="1"/>
      <c r="Q175" s="1"/>
      <c r="R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2:84" ht="15" thickBot="1">
      <c r="B176" s="355"/>
      <c r="C176" s="343" t="str">
        <f>IF(D167&lt;&gt;0, "L'ADEME recommande une certification (label DIN+, NF biocombustible ou équivalent) pour les granulés","")</f>
        <v/>
      </c>
      <c r="D176" s="514"/>
      <c r="E176" s="514"/>
      <c r="F176" s="515"/>
      <c r="G176" s="515"/>
      <c r="H176" s="515"/>
      <c r="I176" s="515"/>
      <c r="J176" s="515"/>
      <c r="K176" s="514"/>
      <c r="L176" s="516"/>
      <c r="M176" s="491"/>
      <c r="N176" s="39"/>
      <c r="O176" s="39"/>
      <c r="P176" s="39"/>
      <c r="Q176" s="39"/>
      <c r="R176" s="39"/>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6" thickTop="1" thickBot="1">
      <c r="B177" s="517"/>
      <c r="C177" s="518"/>
      <c r="D177" s="518"/>
      <c r="E177" s="518"/>
      <c r="F177" s="518"/>
      <c r="G177" s="518"/>
      <c r="H177" s="518"/>
      <c r="I177" s="518"/>
      <c r="J177" s="518"/>
      <c r="K177" s="518"/>
      <c r="L177" s="518"/>
      <c r="M177" s="519"/>
      <c r="N177" s="52"/>
      <c r="O177" s="52"/>
      <c r="P177" s="52"/>
      <c r="Q177" s="52"/>
      <c r="R177" s="52"/>
      <c r="S177" s="62"/>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row>
    <row r="178" spans="1:84" s="2" customFormat="1">
      <c r="A178" s="7"/>
      <c r="B178" s="395"/>
      <c r="C178" s="395"/>
      <c r="D178" s="395"/>
      <c r="E178" s="395"/>
      <c r="F178" s="395"/>
      <c r="G178" s="395"/>
      <c r="H178" s="395"/>
      <c r="I178" s="395"/>
      <c r="J178" s="395"/>
      <c r="K178" s="395"/>
      <c r="L178" s="395"/>
      <c r="M178" s="368"/>
      <c r="N178" s="19"/>
      <c r="O178" s="19"/>
      <c r="P178" s="19"/>
      <c r="Q178" s="19"/>
      <c r="R178" s="19"/>
      <c r="S178" s="10"/>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s="2" customFormat="1">
      <c r="A179" s="7"/>
      <c r="B179" s="395"/>
      <c r="C179" s="395"/>
      <c r="D179" s="395"/>
      <c r="E179" s="395"/>
      <c r="F179" s="395"/>
      <c r="G179" s="395"/>
      <c r="H179" s="395"/>
      <c r="I179" s="395"/>
      <c r="J179" s="395"/>
      <c r="K179" s="395"/>
      <c r="L179" s="395"/>
      <c r="M179" s="368"/>
      <c r="N179" s="19"/>
      <c r="O179" s="19"/>
      <c r="P179" s="19"/>
      <c r="Q179" s="19"/>
      <c r="R179" s="19"/>
      <c r="S179" s="10"/>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s="2" customFormat="1" ht="15" thickBot="1">
      <c r="A180" s="7"/>
      <c r="B180" s="395"/>
      <c r="C180" s="395"/>
      <c r="D180" s="395"/>
      <c r="E180" s="395"/>
      <c r="F180" s="395"/>
      <c r="G180" s="395"/>
      <c r="H180" s="395"/>
      <c r="I180" s="395"/>
      <c r="J180" s="395"/>
      <c r="K180" s="395"/>
      <c r="L180" s="395"/>
      <c r="M180" s="368"/>
      <c r="N180" s="19"/>
      <c r="O180" s="19"/>
      <c r="P180" s="19"/>
      <c r="Q180" s="19"/>
      <c r="R180" s="19"/>
      <c r="S180" s="10"/>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8.600000000000001" thickBot="1">
      <c r="B181" s="1796" t="s">
        <v>363</v>
      </c>
      <c r="C181" s="1797"/>
      <c r="D181" s="1797"/>
      <c r="E181" s="1797"/>
      <c r="F181" s="1797"/>
      <c r="G181" s="1797"/>
      <c r="H181" s="1797"/>
      <c r="I181" s="1797"/>
      <c r="J181" s="1797"/>
      <c r="K181" s="1797"/>
      <c r="L181" s="1797"/>
      <c r="M181" s="1798"/>
      <c r="N181" s="53"/>
      <c r="O181" s="53"/>
      <c r="P181" s="53"/>
      <c r="Q181" s="53"/>
      <c r="R181" s="53"/>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22.5" customHeight="1" thickBot="1">
      <c r="B182" s="900"/>
      <c r="C182" s="901"/>
      <c r="D182" s="901"/>
      <c r="E182" s="901"/>
      <c r="F182" s="901"/>
      <c r="G182" s="901"/>
      <c r="H182" s="902" t="s">
        <v>55</v>
      </c>
      <c r="I182" s="3011" t="s">
        <v>197</v>
      </c>
      <c r="J182" s="3012"/>
      <c r="K182" s="3011" t="s">
        <v>334</v>
      </c>
      <c r="L182" s="3013"/>
      <c r="M182" s="3014"/>
      <c r="N182" s="53"/>
      <c r="O182" s="53"/>
      <c r="P182" s="53"/>
      <c r="Q182" s="53"/>
      <c r="R182" s="53"/>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8" thickBot="1">
      <c r="B183" s="1869" t="s">
        <v>60</v>
      </c>
      <c r="C183" s="1870"/>
      <c r="D183" s="1870"/>
      <c r="E183" s="1870"/>
      <c r="F183" s="1870"/>
      <c r="G183" s="1870"/>
      <c r="H183" s="1870"/>
      <c r="I183" s="1870"/>
      <c r="J183" s="1870"/>
      <c r="K183" s="1870"/>
      <c r="L183" s="1870"/>
      <c r="M183" s="1871"/>
      <c r="N183" s="54"/>
      <c r="O183" s="54"/>
      <c r="P183" s="54"/>
      <c r="Q183" s="54"/>
      <c r="R183" s="54"/>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c r="B184" s="2268" t="s">
        <v>48</v>
      </c>
      <c r="C184" s="2269"/>
      <c r="D184" s="2269"/>
      <c r="E184" s="2269"/>
      <c r="F184" s="2269"/>
      <c r="G184" s="2270"/>
      <c r="H184" s="903"/>
      <c r="I184" s="2983"/>
      <c r="J184" s="2984"/>
      <c r="K184" s="2295"/>
      <c r="L184" s="2296"/>
      <c r="M184" s="2297"/>
      <c r="N184" s="53"/>
      <c r="O184" s="53"/>
      <c r="P184" s="53"/>
      <c r="Q184" s="53"/>
      <c r="R184" s="53"/>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33" customHeight="1">
      <c r="B185" s="1895" t="s">
        <v>49</v>
      </c>
      <c r="C185" s="1896"/>
      <c r="D185" s="1896"/>
      <c r="E185" s="1896"/>
      <c r="F185" s="1896"/>
      <c r="G185" s="1897"/>
      <c r="H185" s="907"/>
      <c r="I185" s="3015"/>
      <c r="J185" s="3016"/>
      <c r="K185" s="2257"/>
      <c r="L185" s="2258"/>
      <c r="M185" s="2259"/>
      <c r="N185" s="19"/>
      <c r="O185" s="19"/>
      <c r="P185" s="19"/>
      <c r="Q185" s="19"/>
      <c r="R185" s="19"/>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c r="B186" s="1878" t="s">
        <v>47</v>
      </c>
      <c r="C186" s="1879"/>
      <c r="D186" s="1879"/>
      <c r="E186" s="1879"/>
      <c r="F186" s="1879"/>
      <c r="G186" s="1880"/>
      <c r="H186" s="908"/>
      <c r="I186" s="2996"/>
      <c r="J186" s="2997"/>
      <c r="K186" s="3008" t="str">
        <f>IF(H186="Qualibois",IF(F77&gt;70, "Qualibois correspond si P &lt; 70 kW","Ok"),"")</f>
        <v/>
      </c>
      <c r="L186" s="3009"/>
      <c r="M186" s="3010"/>
      <c r="N186" s="48"/>
      <c r="O186" s="48"/>
      <c r="P186" s="48"/>
      <c r="Q186" s="48"/>
      <c r="R186" s="48"/>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thickBot="1">
      <c r="B187" s="2967" t="s">
        <v>50</v>
      </c>
      <c r="C187" s="2968"/>
      <c r="D187" s="2968"/>
      <c r="E187" s="2968"/>
      <c r="F187" s="2968"/>
      <c r="G187" s="2969"/>
      <c r="H187" s="909"/>
      <c r="I187" s="3003"/>
      <c r="J187" s="3004"/>
      <c r="K187" s="2332"/>
      <c r="L187" s="2333"/>
      <c r="M187" s="2334"/>
      <c r="N187" s="48"/>
      <c r="O187" s="48"/>
      <c r="P187" s="48"/>
      <c r="Q187" s="48"/>
      <c r="R187" s="48"/>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8" thickBot="1">
      <c r="B188" s="1869" t="s">
        <v>51</v>
      </c>
      <c r="C188" s="1870"/>
      <c r="D188" s="1870"/>
      <c r="E188" s="1870"/>
      <c r="F188" s="1870"/>
      <c r="G188" s="1870"/>
      <c r="H188" s="1870"/>
      <c r="I188" s="1870"/>
      <c r="J188" s="1870"/>
      <c r="K188" s="1870"/>
      <c r="L188" s="1870"/>
      <c r="M188" s="1871"/>
      <c r="N188" s="48"/>
      <c r="O188" s="48"/>
      <c r="P188" s="48"/>
      <c r="Q188" s="48"/>
      <c r="R188" s="48"/>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c r="B189" s="2993" t="s">
        <v>52</v>
      </c>
      <c r="C189" s="2994"/>
      <c r="D189" s="2994"/>
      <c r="E189" s="2994"/>
      <c r="F189" s="2994"/>
      <c r="G189" s="2995"/>
      <c r="H189" s="912"/>
      <c r="I189" s="2983"/>
      <c r="J189" s="2984"/>
      <c r="K189" s="3005" t="str">
        <f>IF(H189&lt;85%, "Le rendement doit être supérieur à 85%","")</f>
        <v>Le rendement doit être supérieur à 85%</v>
      </c>
      <c r="L189" s="3006"/>
      <c r="M189" s="3007"/>
      <c r="N189" s="19"/>
      <c r="O189" s="19"/>
      <c r="P189" s="19"/>
      <c r="Q189" s="19"/>
      <c r="R189" s="19"/>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c r="B190" s="1861" t="s">
        <v>56</v>
      </c>
      <c r="C190" s="1862"/>
      <c r="D190" s="1862"/>
      <c r="E190" s="1862"/>
      <c r="F190" s="1862"/>
      <c r="G190" s="1863"/>
      <c r="H190" s="913">
        <v>650</v>
      </c>
      <c r="I190" s="2996"/>
      <c r="J190" s="2997"/>
      <c r="K190" s="2990" t="str">
        <f>IF(H190&gt;12000," Ce projet doit être déposé dans AAP","")</f>
        <v/>
      </c>
      <c r="L190" s="2991"/>
      <c r="M190" s="2992"/>
      <c r="N190" s="55"/>
      <c r="O190" s="55"/>
      <c r="P190" s="55"/>
      <c r="Q190" s="55"/>
      <c r="R190" s="55"/>
      <c r="S190" s="29"/>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thickBot="1">
      <c r="B191" s="2998" t="s">
        <v>57</v>
      </c>
      <c r="C191" s="2999"/>
      <c r="D191" s="2999"/>
      <c r="E191" s="2999"/>
      <c r="F191" s="2999"/>
      <c r="G191" s="3000"/>
      <c r="H191" s="914"/>
      <c r="I191" s="3001"/>
      <c r="J191" s="3002"/>
      <c r="K191" s="2972" t="str">
        <f>IF(H191="non","Le suivi doit être prévu","")</f>
        <v/>
      </c>
      <c r="L191" s="2973"/>
      <c r="M191" s="2974"/>
      <c r="N191" s="48"/>
      <c r="O191" s="48"/>
      <c r="P191" s="48"/>
      <c r="Q191" s="48"/>
      <c r="R191" s="48"/>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8" thickBot="1">
      <c r="B192" s="1869" t="s">
        <v>58</v>
      </c>
      <c r="C192" s="1870"/>
      <c r="D192" s="1870"/>
      <c r="E192" s="1870"/>
      <c r="F192" s="1870"/>
      <c r="G192" s="1870"/>
      <c r="H192" s="1870"/>
      <c r="I192" s="1870"/>
      <c r="J192" s="1870"/>
      <c r="K192" s="1870"/>
      <c r="L192" s="1870"/>
      <c r="M192" s="1871"/>
      <c r="N192" s="48"/>
      <c r="O192" s="48"/>
      <c r="P192" s="48"/>
      <c r="Q192" s="48"/>
      <c r="R192" s="48"/>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c r="B193" s="2993" t="s">
        <v>59</v>
      </c>
      <c r="C193" s="2994"/>
      <c r="D193" s="2994"/>
      <c r="E193" s="2994"/>
      <c r="F193" s="2994"/>
      <c r="G193" s="2995"/>
      <c r="H193" s="903"/>
      <c r="I193" s="2983"/>
      <c r="J193" s="2984"/>
      <c r="K193" s="2985">
        <f>IF(H193="non", 45,30)</f>
        <v>30</v>
      </c>
      <c r="L193" s="2986"/>
      <c r="M193" s="2987"/>
      <c r="N193" s="56"/>
      <c r="O193" s="56"/>
      <c r="P193" s="56"/>
      <c r="Q193" s="56"/>
      <c r="R193" s="56"/>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6.5" customHeight="1">
      <c r="B194" s="1840" t="s">
        <v>101</v>
      </c>
      <c r="C194" s="1841"/>
      <c r="D194" s="1841"/>
      <c r="E194" s="1841"/>
      <c r="F194" s="1841"/>
      <c r="G194" s="1842"/>
      <c r="H194" s="919" t="str">
        <f>IF(H193="non", IF(I194&lt;45, "oui", "non"), IF(I194&lt;30, "oui"," non"))</f>
        <v>oui</v>
      </c>
      <c r="I194" s="2988">
        <f>G124</f>
        <v>0</v>
      </c>
      <c r="J194" s="2989"/>
      <c r="K194" s="2990" t="str">
        <f>IF(H194="non","Critère non respecté","")</f>
        <v/>
      </c>
      <c r="L194" s="2991"/>
      <c r="M194" s="2992"/>
      <c r="N194" s="48"/>
      <c r="O194" s="48"/>
      <c r="P194" s="48"/>
      <c r="Q194" s="48"/>
      <c r="R194" s="48"/>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75" customHeight="1" thickBot="1">
      <c r="B195" s="2967" t="s">
        <v>61</v>
      </c>
      <c r="C195" s="2968"/>
      <c r="D195" s="2968"/>
      <c r="E195" s="2968"/>
      <c r="F195" s="2968"/>
      <c r="G195" s="2969"/>
      <c r="H195" s="920" t="str">
        <f>IF(H193="oui",IF(I195&lt;300, "oui", "non"),IF(F77&lt;5000,IF(I195&lt;=500, "oui", "non"),IF(I195&lt;300, "oui", "non")))</f>
        <v>non</v>
      </c>
      <c r="I195" s="2970">
        <v>450</v>
      </c>
      <c r="J195" s="2971"/>
      <c r="K195" s="2972" t="str">
        <f>IF(H195="non","Critère non respecté","")</f>
        <v>Critère non respecté</v>
      </c>
      <c r="L195" s="2973"/>
      <c r="M195" s="2974"/>
      <c r="N195" s="1"/>
      <c r="O195" s="1"/>
      <c r="P195" s="1"/>
      <c r="Q195" s="1"/>
      <c r="R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8" thickBot="1">
      <c r="B196" s="1852" t="s">
        <v>62</v>
      </c>
      <c r="C196" s="1853"/>
      <c r="D196" s="1853"/>
      <c r="E196" s="1853"/>
      <c r="F196" s="1853"/>
      <c r="G196" s="1853"/>
      <c r="H196" s="1853"/>
      <c r="I196" s="1853"/>
      <c r="J196" s="1853"/>
      <c r="K196" s="1853"/>
      <c r="L196" s="1853"/>
      <c r="M196" s="1854"/>
      <c r="N196" s="57"/>
      <c r="O196" s="57"/>
      <c r="P196" s="57"/>
      <c r="Q196" s="57"/>
      <c r="R196" s="57"/>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75" customHeight="1" thickBot="1">
      <c r="B197" s="2975" t="str">
        <f>IF(ISBLANK(C172),"","13% de bois certifiés dans la part de consommation C1+C2?")</f>
        <v>13% de bois certifiés dans la part de consommation C1+C2?</v>
      </c>
      <c r="C197" s="2976"/>
      <c r="D197" s="2976"/>
      <c r="E197" s="2976"/>
      <c r="F197" s="2976"/>
      <c r="G197" s="2977"/>
      <c r="H197" s="922"/>
      <c r="I197" s="2978"/>
      <c r="J197" s="2979"/>
      <c r="K197" s="2980" t="str">
        <f>IF(H197="non","Critère non respecté","")</f>
        <v/>
      </c>
      <c r="L197" s="2981"/>
      <c r="M197" s="2982"/>
      <c r="N197" s="58"/>
      <c r="O197" s="58"/>
      <c r="P197" s="58"/>
      <c r="Q197" s="58"/>
      <c r="R197" s="58"/>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c r="A198" s="11"/>
      <c r="B198" s="11"/>
      <c r="C198" s="11"/>
      <c r="D198" s="11"/>
      <c r="E198" s="11"/>
      <c r="F198" s="11"/>
      <c r="G198" s="11"/>
      <c r="H198" s="7"/>
      <c r="I198" s="7"/>
      <c r="J198" s="7"/>
      <c r="K198" s="7"/>
      <c r="L198" s="1"/>
      <c r="M198" s="1"/>
      <c r="N198" s="20"/>
      <c r="O198" s="20"/>
      <c r="P198" s="20"/>
      <c r="Q198" s="20"/>
      <c r="R198" s="20"/>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c r="A199" s="11"/>
      <c r="B199" s="11"/>
      <c r="C199" s="11"/>
      <c r="D199" s="11"/>
      <c r="E199" s="11"/>
      <c r="F199" s="11"/>
      <c r="G199" s="11"/>
      <c r="H199" s="7"/>
      <c r="I199" s="7"/>
      <c r="J199" s="7"/>
      <c r="K199" s="7"/>
      <c r="L199" s="1"/>
      <c r="M199" s="1"/>
      <c r="N199" s="20"/>
      <c r="O199" s="20"/>
      <c r="P199" s="20"/>
      <c r="Q199" s="20"/>
      <c r="R199" s="20"/>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thickBot="1">
      <c r="A200" s="11"/>
      <c r="B200" s="11"/>
      <c r="C200" s="11"/>
      <c r="D200" s="11"/>
      <c r="E200" s="11"/>
      <c r="F200" s="11"/>
      <c r="G200" s="11"/>
      <c r="H200" s="7"/>
      <c r="I200" s="7"/>
      <c r="J200" s="7"/>
      <c r="K200" s="7"/>
      <c r="L200" s="1"/>
      <c r="M200" s="1"/>
      <c r="N200" s="20"/>
      <c r="O200" s="20"/>
      <c r="P200" s="20"/>
      <c r="Q200" s="20"/>
      <c r="R200" s="20"/>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8.600000000000001" thickBot="1">
      <c r="B201" s="1796" t="s">
        <v>364</v>
      </c>
      <c r="C201" s="1797"/>
      <c r="D201" s="1797"/>
      <c r="E201" s="1797"/>
      <c r="F201" s="1797"/>
      <c r="G201" s="1797"/>
      <c r="H201" s="1797"/>
      <c r="I201" s="1797"/>
      <c r="J201" s="1797"/>
      <c r="K201" s="1797"/>
      <c r="L201" s="1797"/>
      <c r="M201" s="1798"/>
      <c r="N201" s="20"/>
      <c r="O201" s="20"/>
      <c r="P201" s="20"/>
      <c r="Q201" s="20"/>
      <c r="R201" s="20"/>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customHeight="1" thickBot="1">
      <c r="B202" s="2962" t="s">
        <v>63</v>
      </c>
      <c r="C202" s="2963"/>
      <c r="D202" s="2964"/>
      <c r="E202" s="923" t="s">
        <v>64</v>
      </c>
      <c r="F202" s="923" t="s">
        <v>103</v>
      </c>
      <c r="G202" s="923" t="s">
        <v>207</v>
      </c>
      <c r="H202" s="3045" t="s">
        <v>342</v>
      </c>
      <c r="I202" s="2963"/>
      <c r="J202" s="2963"/>
      <c r="K202" s="2963"/>
      <c r="L202" s="2963"/>
      <c r="M202" s="3046"/>
      <c r="N202" s="20"/>
      <c r="O202" s="20"/>
      <c r="P202" s="20"/>
      <c r="Q202" s="20"/>
      <c r="R202" s="20"/>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customHeight="1" thickBot="1">
      <c r="B203" s="1839" t="s">
        <v>102</v>
      </c>
      <c r="C203" s="2965"/>
      <c r="D203" s="2966"/>
      <c r="E203" s="924">
        <v>0</v>
      </c>
      <c r="F203" s="925" t="e">
        <f t="shared" ref="F203:F210" si="10">E203/$E$211</f>
        <v>#DIV/0!</v>
      </c>
      <c r="G203" s="926" t="s">
        <v>209</v>
      </c>
      <c r="H203" s="927"/>
      <c r="I203" s="927"/>
      <c r="J203" s="927"/>
      <c r="K203" s="927"/>
      <c r="L203" s="927"/>
      <c r="M203" s="928"/>
      <c r="N203" s="20"/>
      <c r="O203" s="20"/>
      <c r="P203" s="20"/>
      <c r="Q203" s="20"/>
      <c r="R203" s="20"/>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customHeight="1" thickBot="1">
      <c r="B204" s="1839" t="s">
        <v>65</v>
      </c>
      <c r="C204" s="2965"/>
      <c r="D204" s="2966"/>
      <c r="E204" s="929">
        <f>SUM(E205:E209)</f>
        <v>0</v>
      </c>
      <c r="F204" s="925" t="e">
        <f t="shared" si="10"/>
        <v>#DIV/0!</v>
      </c>
      <c r="G204" s="926"/>
      <c r="H204" s="930"/>
      <c r="I204" s="930"/>
      <c r="J204" s="930"/>
      <c r="K204" s="930"/>
      <c r="L204" s="930"/>
      <c r="M204" s="931"/>
      <c r="N204" s="20"/>
      <c r="O204" s="20"/>
      <c r="P204" s="20"/>
      <c r="Q204" s="20"/>
      <c r="R204" s="20"/>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customHeight="1">
      <c r="B205" s="1789" t="s">
        <v>68</v>
      </c>
      <c r="C205" s="2956"/>
      <c r="D205" s="2957"/>
      <c r="E205" s="932">
        <f>sub</f>
        <v>0</v>
      </c>
      <c r="F205" s="925" t="e">
        <f t="shared" si="10"/>
        <v>#DIV/0!</v>
      </c>
      <c r="G205" s="926"/>
      <c r="H205" s="930"/>
      <c r="I205" s="930"/>
      <c r="J205" s="930"/>
      <c r="K205" s="930"/>
      <c r="L205" s="930"/>
      <c r="M205" s="931"/>
      <c r="N205" s="20"/>
      <c r="O205" s="20"/>
      <c r="P205" s="20"/>
      <c r="Q205" s="20"/>
      <c r="R205" s="20"/>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customHeight="1">
      <c r="B206" s="1789" t="s">
        <v>66</v>
      </c>
      <c r="C206" s="2956"/>
      <c r="D206" s="2957"/>
      <c r="E206" s="933">
        <v>0</v>
      </c>
      <c r="F206" s="925" t="e">
        <f t="shared" si="10"/>
        <v>#DIV/0!</v>
      </c>
      <c r="G206" s="926"/>
      <c r="H206" s="930"/>
      <c r="I206" s="930"/>
      <c r="J206" s="930"/>
      <c r="K206" s="930"/>
      <c r="L206" s="930"/>
      <c r="M206" s="931"/>
      <c r="N206" s="20"/>
      <c r="O206" s="20"/>
      <c r="P206" s="20"/>
      <c r="Q206" s="20"/>
      <c r="R206" s="20"/>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customHeight="1">
      <c r="B207" s="1789" t="s">
        <v>69</v>
      </c>
      <c r="C207" s="2956"/>
      <c r="D207" s="2957"/>
      <c r="E207" s="933">
        <v>0</v>
      </c>
      <c r="F207" s="925" t="e">
        <f t="shared" si="10"/>
        <v>#DIV/0!</v>
      </c>
      <c r="G207" s="926"/>
      <c r="H207" s="930"/>
      <c r="I207" s="930"/>
      <c r="J207" s="930"/>
      <c r="K207" s="930"/>
      <c r="L207" s="930"/>
      <c r="M207" s="931"/>
      <c r="N207" s="20"/>
      <c r="O207" s="20"/>
      <c r="P207" s="20"/>
      <c r="Q207" s="20"/>
      <c r="R207" s="20"/>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customHeight="1">
      <c r="B208" s="1789" t="s">
        <v>70</v>
      </c>
      <c r="C208" s="2956"/>
      <c r="D208" s="2957"/>
      <c r="E208" s="933">
        <v>0</v>
      </c>
      <c r="F208" s="925" t="e">
        <f t="shared" si="10"/>
        <v>#DIV/0!</v>
      </c>
      <c r="G208" s="926"/>
      <c r="H208" s="930"/>
      <c r="I208" s="930"/>
      <c r="J208" s="930"/>
      <c r="K208" s="930"/>
      <c r="L208" s="930"/>
      <c r="M208" s="931"/>
      <c r="N208" s="59"/>
      <c r="O208" s="59"/>
      <c r="P208" s="59"/>
      <c r="Q208" s="59"/>
      <c r="R208" s="59"/>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2:84" ht="15" customHeight="1" thickBot="1">
      <c r="B209" s="1789" t="s">
        <v>67</v>
      </c>
      <c r="C209" s="2956"/>
      <c r="D209" s="2957"/>
      <c r="E209" s="934">
        <v>0</v>
      </c>
      <c r="F209" s="925" t="e">
        <f t="shared" si="10"/>
        <v>#DIV/0!</v>
      </c>
      <c r="G209" s="926"/>
      <c r="H209" s="930"/>
      <c r="I209" s="930"/>
      <c r="J209" s="930"/>
      <c r="K209" s="930"/>
      <c r="L209" s="930"/>
      <c r="M209" s="931"/>
      <c r="N209" s="1"/>
      <c r="O209" s="1"/>
      <c r="P209" s="1"/>
      <c r="Q209" s="1"/>
      <c r="R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2:84" ht="15" customHeight="1" thickBot="1">
      <c r="B210" s="2958" t="s">
        <v>71</v>
      </c>
      <c r="C210" s="2959"/>
      <c r="D210" s="2960"/>
      <c r="E210" s="935">
        <v>0</v>
      </c>
      <c r="F210" s="936" t="e">
        <f t="shared" si="10"/>
        <v>#DIV/0!</v>
      </c>
      <c r="G210" s="937"/>
      <c r="H210" s="930"/>
      <c r="I210" s="930"/>
      <c r="J210" s="930"/>
      <c r="K210" s="930"/>
      <c r="L210" s="930"/>
      <c r="M210" s="931"/>
      <c r="N210" s="1"/>
      <c r="O210" s="1"/>
      <c r="P210" s="1"/>
      <c r="Q210" s="1"/>
      <c r="R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2:84" ht="15" customHeight="1" thickBot="1">
      <c r="B211" s="1792" t="s">
        <v>94</v>
      </c>
      <c r="C211" s="1793"/>
      <c r="D211" s="2961"/>
      <c r="E211" s="929">
        <f>SUM(E203:E203,E204,E210)</f>
        <v>0</v>
      </c>
      <c r="F211" s="2955" t="str">
        <f>IF(E211&lt;&gt;F149,"Vous n'avez pas le même investissement dans le tableau 4"," RAS")</f>
        <v xml:space="preserve"> RAS</v>
      </c>
      <c r="G211" s="1794"/>
      <c r="H211" s="1794"/>
      <c r="I211" s="1794"/>
      <c r="J211" s="1794"/>
      <c r="K211" s="1794"/>
      <c r="L211" s="1794"/>
      <c r="M211" s="1795"/>
      <c r="N211" s="1"/>
      <c r="O211" s="1"/>
      <c r="P211" s="1"/>
      <c r="Q211" s="1"/>
      <c r="R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2:84">
      <c r="B212" s="368"/>
      <c r="C212" s="368"/>
      <c r="D212" s="368"/>
      <c r="E212" s="368"/>
      <c r="F212" s="368"/>
      <c r="G212" s="368"/>
      <c r="H212" s="368"/>
      <c r="I212" s="368"/>
      <c r="J212" s="368"/>
      <c r="K212" s="368"/>
      <c r="N212" s="1"/>
      <c r="O212" s="1"/>
      <c r="P212" s="1"/>
      <c r="Q212" s="1"/>
      <c r="R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2:84">
      <c r="B213" s="368"/>
      <c r="C213" s="368"/>
      <c r="D213" s="368"/>
      <c r="E213" s="368"/>
      <c r="F213" s="368"/>
      <c r="G213" s="368"/>
      <c r="H213" s="368"/>
      <c r="I213" s="368"/>
      <c r="J213" s="368"/>
      <c r="K213" s="368"/>
      <c r="N213" s="1"/>
      <c r="O213" s="1"/>
      <c r="P213" s="1"/>
      <c r="Q213" s="1"/>
      <c r="R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2:84">
      <c r="B214" s="368"/>
      <c r="C214" s="368"/>
      <c r="D214" s="368"/>
      <c r="E214" s="368"/>
      <c r="F214" s="368"/>
      <c r="G214" s="368"/>
      <c r="H214" s="368"/>
      <c r="I214" s="368"/>
      <c r="J214" s="368"/>
      <c r="K214" s="368"/>
      <c r="N214" s="1"/>
      <c r="O214" s="1"/>
      <c r="P214" s="1"/>
      <c r="Q214" s="1"/>
      <c r="R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2:84">
      <c r="B215" s="368"/>
      <c r="C215" s="368"/>
      <c r="D215" s="368"/>
      <c r="E215" s="368"/>
      <c r="F215" s="368"/>
      <c r="G215" s="368"/>
      <c r="H215" s="368"/>
      <c r="I215" s="368"/>
      <c r="J215" s="368"/>
      <c r="K215" s="368"/>
      <c r="N215" s="1"/>
      <c r="O215" s="1"/>
      <c r="P215" s="1"/>
      <c r="Q215" s="1"/>
      <c r="R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2:84">
      <c r="B216" s="368"/>
      <c r="C216" s="368"/>
      <c r="D216" s="368"/>
      <c r="E216" s="368"/>
      <c r="F216" s="368"/>
      <c r="G216" s="368"/>
      <c r="H216" s="368"/>
      <c r="I216" s="368"/>
      <c r="J216" s="368"/>
      <c r="K216" s="368"/>
      <c r="N216" s="1"/>
      <c r="O216" s="1"/>
      <c r="P216" s="1"/>
      <c r="Q216" s="1"/>
      <c r="R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2:84">
      <c r="B217" s="368"/>
      <c r="C217" s="368"/>
      <c r="D217" s="368"/>
      <c r="E217" s="368"/>
      <c r="F217" s="368"/>
      <c r="G217" s="368"/>
      <c r="H217" s="368"/>
      <c r="I217" s="368"/>
      <c r="J217" s="368"/>
      <c r="K217" s="368"/>
      <c r="N217" s="1"/>
      <c r="O217" s="1"/>
      <c r="P217" s="1"/>
      <c r="Q217" s="1"/>
      <c r="R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2:84">
      <c r="B218" s="368"/>
      <c r="C218" s="368"/>
      <c r="D218" s="368"/>
      <c r="E218" s="368"/>
      <c r="F218" s="368"/>
      <c r="G218" s="368"/>
      <c r="H218" s="368"/>
      <c r="I218" s="368"/>
      <c r="J218" s="368"/>
      <c r="K218" s="368"/>
      <c r="N218" s="1"/>
      <c r="O218" s="1"/>
      <c r="P218" s="1"/>
      <c r="Q218" s="1"/>
      <c r="R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2:84">
      <c r="N219" s="1"/>
      <c r="O219" s="1"/>
      <c r="P219" s="1"/>
      <c r="Q219" s="1"/>
      <c r="R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2:84">
      <c r="N220" s="1"/>
      <c r="O220" s="1"/>
      <c r="P220" s="1"/>
      <c r="Q220" s="1"/>
      <c r="R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2:84">
      <c r="N221" s="1"/>
      <c r="O221" s="1"/>
      <c r="P221" s="1"/>
      <c r="Q221" s="1"/>
      <c r="R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2:84">
      <c r="N222" s="1"/>
      <c r="O222" s="1"/>
      <c r="P222" s="1"/>
      <c r="Q222" s="1"/>
      <c r="R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2:84">
      <c r="N223" s="1"/>
      <c r="O223" s="1"/>
      <c r="P223" s="1"/>
      <c r="Q223" s="1"/>
      <c r="R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2:84">
      <c r="N224" s="1"/>
      <c r="O224" s="1"/>
      <c r="P224" s="1"/>
      <c r="Q224" s="1"/>
      <c r="R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4:84">
      <c r="N225" s="1"/>
      <c r="O225" s="1"/>
      <c r="P225" s="1"/>
      <c r="Q225" s="1"/>
      <c r="R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4:84">
      <c r="N226" s="1"/>
      <c r="O226" s="1"/>
      <c r="P226" s="1"/>
      <c r="Q226" s="1"/>
      <c r="R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4:84">
      <c r="N227" s="1"/>
      <c r="O227" s="1"/>
      <c r="P227" s="1"/>
      <c r="Q227" s="1"/>
      <c r="R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4:84">
      <c r="N228" s="1"/>
      <c r="O228" s="1"/>
      <c r="P228" s="1"/>
      <c r="Q228" s="1"/>
      <c r="R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4:84">
      <c r="N229" s="1"/>
      <c r="O229" s="1"/>
      <c r="P229" s="1"/>
      <c r="Q229" s="1"/>
      <c r="R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4:84">
      <c r="N230" s="1"/>
      <c r="O230" s="1"/>
      <c r="P230" s="1"/>
      <c r="Q230" s="1"/>
      <c r="R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4:84">
      <c r="N231" s="1"/>
      <c r="O231" s="1"/>
      <c r="P231" s="1"/>
      <c r="Q231" s="1"/>
      <c r="R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4:84">
      <c r="N232" s="1"/>
      <c r="O232" s="1"/>
      <c r="P232" s="1"/>
      <c r="Q232" s="1"/>
      <c r="R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4:84">
      <c r="N233" s="1"/>
      <c r="O233" s="1"/>
      <c r="P233" s="1"/>
      <c r="Q233" s="1"/>
      <c r="R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4:84">
      <c r="N234" s="1"/>
      <c r="O234" s="1"/>
      <c r="P234" s="1"/>
      <c r="Q234" s="1"/>
      <c r="R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4:84">
      <c r="N235" s="1"/>
      <c r="O235" s="1"/>
      <c r="P235" s="1"/>
      <c r="Q235" s="1"/>
      <c r="R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4:84">
      <c r="N236" s="1"/>
      <c r="O236" s="1"/>
      <c r="P236" s="1"/>
      <c r="Q236" s="1"/>
      <c r="R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4:84">
      <c r="N237" s="1"/>
      <c r="O237" s="1"/>
      <c r="P237" s="1"/>
      <c r="Q237" s="1"/>
      <c r="R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4:84">
      <c r="N238" s="1"/>
      <c r="O238" s="1"/>
      <c r="P238" s="1"/>
      <c r="Q238" s="1"/>
      <c r="R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4:84">
      <c r="N239" s="1"/>
      <c r="O239" s="1"/>
      <c r="P239" s="1"/>
      <c r="Q239" s="1"/>
      <c r="R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4:84">
      <c r="N240" s="1"/>
      <c r="O240" s="1"/>
      <c r="P240" s="1"/>
      <c r="Q240" s="1"/>
      <c r="R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4:84">
      <c r="N241" s="1"/>
      <c r="O241" s="1"/>
      <c r="P241" s="1"/>
      <c r="Q241" s="1"/>
      <c r="R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4:84">
      <c r="N242" s="1"/>
      <c r="O242" s="1"/>
      <c r="P242" s="1"/>
      <c r="Q242" s="1"/>
      <c r="R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4:84">
      <c r="N243" s="1"/>
      <c r="O243" s="1"/>
      <c r="P243" s="1"/>
      <c r="Q243" s="1"/>
      <c r="R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4:84">
      <c r="N244" s="1"/>
      <c r="O244" s="1"/>
      <c r="P244" s="1"/>
      <c r="Q244" s="1"/>
      <c r="R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4:84">
      <c r="N245" s="1"/>
      <c r="O245" s="1"/>
      <c r="P245" s="1"/>
      <c r="Q245" s="1"/>
      <c r="R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4:84">
      <c r="N246" s="1"/>
      <c r="O246" s="1"/>
      <c r="P246" s="1"/>
      <c r="Q246" s="1"/>
      <c r="R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4:84">
      <c r="N247" s="1"/>
      <c r="O247" s="1"/>
      <c r="P247" s="1"/>
      <c r="Q247" s="1"/>
      <c r="R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4:84">
      <c r="N248" s="1"/>
      <c r="O248" s="1"/>
      <c r="P248" s="1"/>
      <c r="Q248" s="1"/>
      <c r="R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4:84">
      <c r="N249" s="1"/>
      <c r="O249" s="1"/>
      <c r="P249" s="1"/>
      <c r="Q249" s="1"/>
      <c r="R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4:84">
      <c r="N250" s="1"/>
      <c r="O250" s="1"/>
      <c r="P250" s="1"/>
      <c r="Q250" s="1"/>
      <c r="R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sheetData>
  <mergeCells count="220">
    <mergeCell ref="H139:K139"/>
    <mergeCell ref="H202:M202"/>
    <mergeCell ref="H23:M23"/>
    <mergeCell ref="G69:M69"/>
    <mergeCell ref="B69:E69"/>
    <mergeCell ref="B89:E89"/>
    <mergeCell ref="G89:M89"/>
    <mergeCell ref="H20:M22"/>
    <mergeCell ref="H24:M26"/>
    <mergeCell ref="B95:D95"/>
    <mergeCell ref="B90:D90"/>
    <mergeCell ref="B78:D78"/>
    <mergeCell ref="B93:D93"/>
    <mergeCell ref="B81:D81"/>
    <mergeCell ref="B91:D91"/>
    <mergeCell ref="B79:D79"/>
    <mergeCell ref="B92:D92"/>
    <mergeCell ref="B80:D80"/>
    <mergeCell ref="B94:D94"/>
    <mergeCell ref="B82:D82"/>
    <mergeCell ref="B75:D75"/>
    <mergeCell ref="B76:D76"/>
    <mergeCell ref="B83:D83"/>
    <mergeCell ref="B36:D36"/>
    <mergeCell ref="F36:G36"/>
    <mergeCell ref="B18:M18"/>
    <mergeCell ref="B19:F19"/>
    <mergeCell ref="G19:M19"/>
    <mergeCell ref="B20:F20"/>
    <mergeCell ref="B21:F21"/>
    <mergeCell ref="B22:F22"/>
    <mergeCell ref="B23:F23"/>
    <mergeCell ref="B24:F24"/>
    <mergeCell ref="B25:F25"/>
    <mergeCell ref="B32:D32"/>
    <mergeCell ref="F32:G32"/>
    <mergeCell ref="B33:D33"/>
    <mergeCell ref="F33:G33"/>
    <mergeCell ref="H33:K33"/>
    <mergeCell ref="H36:K36"/>
    <mergeCell ref="B37:D37"/>
    <mergeCell ref="F37:G37"/>
    <mergeCell ref="H37:K37"/>
    <mergeCell ref="N68:R68"/>
    <mergeCell ref="N88:R88"/>
    <mergeCell ref="B26:F26"/>
    <mergeCell ref="B28:F30"/>
    <mergeCell ref="G28:M28"/>
    <mergeCell ref="G29:M29"/>
    <mergeCell ref="G30:M30"/>
    <mergeCell ref="B31:D31"/>
    <mergeCell ref="F31:G31"/>
    <mergeCell ref="H31:K31"/>
    <mergeCell ref="B35:D35"/>
    <mergeCell ref="B27:F27"/>
    <mergeCell ref="H32:K32"/>
    <mergeCell ref="B34:D34"/>
    <mergeCell ref="F35:G35"/>
    <mergeCell ref="H35:K35"/>
    <mergeCell ref="B65:F65"/>
    <mergeCell ref="B66:F66"/>
    <mergeCell ref="B67:F67"/>
    <mergeCell ref="F34:G34"/>
    <mergeCell ref="H34:K34"/>
    <mergeCell ref="C42:L46"/>
    <mergeCell ref="B47:M47"/>
    <mergeCell ref="C48:G57"/>
    <mergeCell ref="B61:M61"/>
    <mergeCell ref="B63:H63"/>
    <mergeCell ref="B64:H64"/>
    <mergeCell ref="B62:M62"/>
    <mergeCell ref="B38:M38"/>
    <mergeCell ref="C39:L40"/>
    <mergeCell ref="B41:M41"/>
    <mergeCell ref="H48:I48"/>
    <mergeCell ref="B88:M88"/>
    <mergeCell ref="B77:D77"/>
    <mergeCell ref="B102:D102"/>
    <mergeCell ref="B104:D104"/>
    <mergeCell ref="B72:D72"/>
    <mergeCell ref="B73:D73"/>
    <mergeCell ref="B68:M68"/>
    <mergeCell ref="B70:D70"/>
    <mergeCell ref="B71:D71"/>
    <mergeCell ref="B74:D74"/>
    <mergeCell ref="B134:E134"/>
    <mergeCell ref="B132:E132"/>
    <mergeCell ref="B122:E122"/>
    <mergeCell ref="B108:M108"/>
    <mergeCell ref="B115:M115"/>
    <mergeCell ref="B97:D97"/>
    <mergeCell ref="B101:D101"/>
    <mergeCell ref="B96:D96"/>
    <mergeCell ref="B103:D103"/>
    <mergeCell ref="B98:D98"/>
    <mergeCell ref="B100:D100"/>
    <mergeCell ref="B99:D99"/>
    <mergeCell ref="B165:C165"/>
    <mergeCell ref="B166:C166"/>
    <mergeCell ref="B167:C167"/>
    <mergeCell ref="B168:C168"/>
    <mergeCell ref="B169:D169"/>
    <mergeCell ref="B181:M181"/>
    <mergeCell ref="B153:M153"/>
    <mergeCell ref="B154:C154"/>
    <mergeCell ref="B119:E119"/>
    <mergeCell ref="B120:E120"/>
    <mergeCell ref="B123:E123"/>
    <mergeCell ref="B121:E121"/>
    <mergeCell ref="B131:M131"/>
    <mergeCell ref="B130:E130"/>
    <mergeCell ref="B129:E129"/>
    <mergeCell ref="B128:E128"/>
    <mergeCell ref="B127:E127"/>
    <mergeCell ref="B126:E126"/>
    <mergeCell ref="B125:E125"/>
    <mergeCell ref="B124:E124"/>
    <mergeCell ref="B137:E137"/>
    <mergeCell ref="B136:E136"/>
    <mergeCell ref="B135:E135"/>
    <mergeCell ref="B133:E133"/>
    <mergeCell ref="B186:G186"/>
    <mergeCell ref="I186:J186"/>
    <mergeCell ref="K186:M186"/>
    <mergeCell ref="B187:G187"/>
    <mergeCell ref="I182:J182"/>
    <mergeCell ref="K182:M182"/>
    <mergeCell ref="B183:M183"/>
    <mergeCell ref="B184:G184"/>
    <mergeCell ref="I184:J184"/>
    <mergeCell ref="K184:M184"/>
    <mergeCell ref="B185:G185"/>
    <mergeCell ref="I185:J185"/>
    <mergeCell ref="K185:M185"/>
    <mergeCell ref="B190:G190"/>
    <mergeCell ref="I190:J190"/>
    <mergeCell ref="K190:M190"/>
    <mergeCell ref="B191:G191"/>
    <mergeCell ref="I191:J191"/>
    <mergeCell ref="K191:M191"/>
    <mergeCell ref="I187:J187"/>
    <mergeCell ref="K187:M187"/>
    <mergeCell ref="B188:M188"/>
    <mergeCell ref="I189:J189"/>
    <mergeCell ref="K189:M189"/>
    <mergeCell ref="B189:G189"/>
    <mergeCell ref="B195:G195"/>
    <mergeCell ref="I195:J195"/>
    <mergeCell ref="K195:M195"/>
    <mergeCell ref="B196:M196"/>
    <mergeCell ref="B197:G197"/>
    <mergeCell ref="I197:J197"/>
    <mergeCell ref="K197:M197"/>
    <mergeCell ref="B192:M192"/>
    <mergeCell ref="I193:J193"/>
    <mergeCell ref="K193:M193"/>
    <mergeCell ref="I194:J194"/>
    <mergeCell ref="K194:M194"/>
    <mergeCell ref="B194:G194"/>
    <mergeCell ref="B193:G193"/>
    <mergeCell ref="F211:M211"/>
    <mergeCell ref="B206:D206"/>
    <mergeCell ref="B207:D207"/>
    <mergeCell ref="B208:D208"/>
    <mergeCell ref="B209:D209"/>
    <mergeCell ref="B210:D210"/>
    <mergeCell ref="B211:D211"/>
    <mergeCell ref="B201:M201"/>
    <mergeCell ref="B202:D202"/>
    <mergeCell ref="B203:D203"/>
    <mergeCell ref="B204:D204"/>
    <mergeCell ref="B205:D205"/>
    <mergeCell ref="B148:E148"/>
    <mergeCell ref="B149:E149"/>
    <mergeCell ref="H145:K145"/>
    <mergeCell ref="B156:C156"/>
    <mergeCell ref="B163:E163"/>
    <mergeCell ref="B164:C164"/>
    <mergeCell ref="B155:E155"/>
    <mergeCell ref="J3:M7"/>
    <mergeCell ref="B84:D84"/>
    <mergeCell ref="B2:G4"/>
    <mergeCell ref="B5:G7"/>
    <mergeCell ref="H142:K142"/>
    <mergeCell ref="H143:K143"/>
    <mergeCell ref="H140:K140"/>
    <mergeCell ref="H141:K141"/>
    <mergeCell ref="B116:M116"/>
    <mergeCell ref="B117:E117"/>
    <mergeCell ref="B159:C159"/>
    <mergeCell ref="B160:C160"/>
    <mergeCell ref="B161:C161"/>
    <mergeCell ref="B162:C162"/>
    <mergeCell ref="B157:C157"/>
    <mergeCell ref="B158:C158"/>
    <mergeCell ref="H144:K144"/>
    <mergeCell ref="G140:G141"/>
    <mergeCell ref="G142:G143"/>
    <mergeCell ref="G145:G148"/>
    <mergeCell ref="C109:L111"/>
    <mergeCell ref="J63:M64"/>
    <mergeCell ref="B106:D106"/>
    <mergeCell ref="B87:D87"/>
    <mergeCell ref="B86:D86"/>
    <mergeCell ref="B107:D107"/>
    <mergeCell ref="B105:D105"/>
    <mergeCell ref="B85:D85"/>
    <mergeCell ref="B118:E118"/>
    <mergeCell ref="H138:L138"/>
    <mergeCell ref="B138:F138"/>
    <mergeCell ref="H146:M149"/>
    <mergeCell ref="B139:E139"/>
    <mergeCell ref="B140:E140"/>
    <mergeCell ref="B142:E142"/>
    <mergeCell ref="B141:E141"/>
    <mergeCell ref="B143:E143"/>
    <mergeCell ref="B144:E144"/>
    <mergeCell ref="B145:E145"/>
    <mergeCell ref="B146:E146"/>
    <mergeCell ref="B147:E147"/>
  </mergeCells>
  <conditionalFormatting sqref="B76:E76">
    <cfRule type="expression" dxfId="122" priority="206">
      <formula>$E$75="non"</formula>
    </cfRule>
  </conditionalFormatting>
  <conditionalFormatting sqref="B132:E137 G132:R137 F133:F137">
    <cfRule type="expression" dxfId="121" priority="410">
      <formula>$F$132=0</formula>
    </cfRule>
  </conditionalFormatting>
  <conditionalFormatting sqref="C174">
    <cfRule type="expression" dxfId="120" priority="422">
      <formula>$C$174="Appro biomasse OK: 100% de granulés"</formula>
    </cfRule>
  </conditionalFormatting>
  <conditionalFormatting sqref="D162">
    <cfRule type="expression" dxfId="119" priority="317">
      <formula>$D$162&gt;1</formula>
    </cfRule>
  </conditionalFormatting>
  <conditionalFormatting sqref="E31">
    <cfRule type="expression" dxfId="118" priority="467">
      <formula>COUNTIF($E$35:$E$37,"oui")=0</formula>
    </cfRule>
    <cfRule type="expression" dxfId="117" priority="468">
      <formula>COUNTIF($E$35:$E$37,"oui")&lt;&gt;0</formula>
    </cfRule>
  </conditionalFormatting>
  <conditionalFormatting sqref="E35:E37">
    <cfRule type="containsText" dxfId="116" priority="469" operator="containsText" text="oui">
      <formula>NOT(ISERROR(SEARCH("oui",E35)))</formula>
    </cfRule>
  </conditionalFormatting>
  <conditionalFormatting sqref="F78:F83">
    <cfRule type="colorScale" priority="9">
      <colorScale>
        <cfvo type="min"/>
        <cfvo type="max"/>
        <color rgb="FFFCFCFF"/>
        <color theme="7"/>
      </colorScale>
    </cfRule>
  </conditionalFormatting>
  <conditionalFormatting sqref="F98:F103">
    <cfRule type="colorScale" priority="8">
      <colorScale>
        <cfvo type="min"/>
        <cfvo type="max"/>
        <color rgb="FFFCFCFF"/>
        <color theme="7"/>
      </colorScale>
    </cfRule>
  </conditionalFormatting>
  <conditionalFormatting sqref="F107">
    <cfRule type="expression" dxfId="115" priority="251">
      <formula>$F$107="E"</formula>
    </cfRule>
    <cfRule type="expression" dxfId="114" priority="252">
      <formula>$G$107="A"</formula>
    </cfRule>
    <cfRule type="expression" dxfId="113" priority="287">
      <formula>$F$107="A"</formula>
    </cfRule>
  </conditionalFormatting>
  <conditionalFormatting sqref="F203:F210">
    <cfRule type="colorScale" priority="6">
      <colorScale>
        <cfvo type="min"/>
        <cfvo type="max"/>
        <color theme="8" tint="0.79998168889431442"/>
        <color theme="8"/>
      </colorScale>
    </cfRule>
  </conditionalFormatting>
  <conditionalFormatting sqref="F95:H96 B96:E96">
    <cfRule type="expression" dxfId="112" priority="302" stopIfTrue="1">
      <formula>$E$95&lt;&gt;"oui"</formula>
    </cfRule>
  </conditionalFormatting>
  <conditionalFormatting sqref="F75:P76">
    <cfRule type="expression" dxfId="111" priority="111">
      <formula>$E$75="non"</formula>
    </cfRule>
  </conditionalFormatting>
  <conditionalFormatting sqref="G70:G87">
    <cfRule type="expression" dxfId="110" priority="127" stopIfTrue="1">
      <formula>$G$67="Neuf"</formula>
    </cfRule>
  </conditionalFormatting>
  <conditionalFormatting sqref="G90:G107">
    <cfRule type="expression" dxfId="109" priority="297" stopIfTrue="1">
      <formula>$G$67="Abandonné pour le projet"</formula>
    </cfRule>
  </conditionalFormatting>
  <conditionalFormatting sqref="G107">
    <cfRule type="expression" dxfId="108" priority="274">
      <formula>$G$107="E"</formula>
    </cfRule>
    <cfRule type="expression" dxfId="107" priority="286">
      <formula>$G$107="A"</formula>
    </cfRule>
  </conditionalFormatting>
  <conditionalFormatting sqref="G117 G134:R134">
    <cfRule type="expression" dxfId="106" priority="424">
      <formula>SUM($G$134:$M$134)=$G$118</formula>
    </cfRule>
  </conditionalFormatting>
  <conditionalFormatting sqref="G118 G126:R126">
    <cfRule type="expression" dxfId="105" priority="443">
      <formula>$G$118&lt;&gt;SUM($G$126:$M$126)</formula>
    </cfRule>
    <cfRule type="expression" dxfId="104" priority="445">
      <formula>SUM($G$126:$M$126)=$G$118</formula>
    </cfRule>
  </conditionalFormatting>
  <conditionalFormatting sqref="G119 G135:R135">
    <cfRule type="expression" dxfId="103" priority="425">
      <formula>SUM($G$135:$M$135)=$G$119</formula>
    </cfRule>
  </conditionalFormatting>
  <conditionalFormatting sqref="G119">
    <cfRule type="expression" dxfId="102" priority="291">
      <formula>$G$119=0</formula>
    </cfRule>
  </conditionalFormatting>
  <conditionalFormatting sqref="G121:G122">
    <cfRule type="expression" dxfId="101" priority="446">
      <formula>$G$121=1</formula>
    </cfRule>
  </conditionalFormatting>
  <conditionalFormatting sqref="G127">
    <cfRule type="expression" dxfId="100" priority="442">
      <formula>$G$120&lt;&gt;SUM($G$127:$M$127)</formula>
    </cfRule>
  </conditionalFormatting>
  <conditionalFormatting sqref="G127:R127 G120">
    <cfRule type="expression" dxfId="99" priority="444">
      <formula>SUM($G$127:$M$127)=$G$120</formula>
    </cfRule>
  </conditionalFormatting>
  <conditionalFormatting sqref="G132:R137">
    <cfRule type="expression" dxfId="98" priority="438">
      <formula>$F$132=0</formula>
    </cfRule>
  </conditionalFormatting>
  <conditionalFormatting sqref="H23">
    <cfRule type="expression" dxfId="97" priority="391">
      <formula>$H$23&lt;&gt;""</formula>
    </cfRule>
  </conditionalFormatting>
  <conditionalFormatting sqref="H70:H87 H90:H107">
    <cfRule type="expression" dxfId="96" priority="202">
      <formula>$H$67=""</formula>
    </cfRule>
  </conditionalFormatting>
  <conditionalFormatting sqref="H70:H87">
    <cfRule type="expression" dxfId="95" priority="250" stopIfTrue="1">
      <formula>$H$67="Neuf"</formula>
    </cfRule>
  </conditionalFormatting>
  <conditionalFormatting sqref="H90:H107">
    <cfRule type="expression" dxfId="94" priority="207" stopIfTrue="1">
      <formula>$H$67="Abandonné pour le projet"</formula>
    </cfRule>
  </conditionalFormatting>
  <conditionalFormatting sqref="H123">
    <cfRule type="expression" dxfId="93" priority="400">
      <formula>(G119/G123)&gt;0.85</formula>
    </cfRule>
    <cfRule type="expression" dxfId="92" priority="401">
      <formula>(G119/G123)&lt;0.85</formula>
    </cfRule>
  </conditionalFormatting>
  <conditionalFormatting sqref="H184:H185">
    <cfRule type="containsText" dxfId="91" priority="4" operator="containsText" text="oui">
      <formula>NOT(ISERROR(SEARCH("oui",H184)))</formula>
    </cfRule>
  </conditionalFormatting>
  <conditionalFormatting sqref="H191">
    <cfRule type="containsText" dxfId="90" priority="3" operator="containsText" text="oui">
      <formula>NOT(ISERROR(SEARCH("oui",H191)))</formula>
    </cfRule>
  </conditionalFormatting>
  <conditionalFormatting sqref="H193">
    <cfRule type="containsText" dxfId="89" priority="2" operator="containsText" text="oui">
      <formula>NOT(ISERROR(SEARCH("oui",H193)))</formula>
    </cfRule>
  </conditionalFormatting>
  <conditionalFormatting sqref="H197">
    <cfRule type="containsText" dxfId="88" priority="1" operator="containsText" text="oui">
      <formula>NOT(ISERROR(SEARCH("oui",H197)))</formula>
    </cfRule>
  </conditionalFormatting>
  <conditionalFormatting sqref="H27:M27">
    <cfRule type="expression" dxfId="87" priority="392">
      <formula>$G$27="oui"</formula>
    </cfRule>
  </conditionalFormatting>
  <conditionalFormatting sqref="H118:M118">
    <cfRule type="expression" dxfId="86" priority="390">
      <formula>$H$118&lt;&gt;""</formula>
    </cfRule>
  </conditionalFormatting>
  <conditionalFormatting sqref="H125:R130">
    <cfRule type="expression" dxfId="85" priority="439">
      <formula>$F$125=1</formula>
    </cfRule>
  </conditionalFormatting>
  <conditionalFormatting sqref="H132:R137">
    <cfRule type="expression" dxfId="84" priority="430">
      <formula>$F$132=1</formula>
    </cfRule>
  </conditionalFormatting>
  <conditionalFormatting sqref="I70:I87">
    <cfRule type="expression" dxfId="83" priority="131">
      <formula>$I$67=""</formula>
    </cfRule>
    <cfRule type="expression" dxfId="82" priority="133" stopIfTrue="1">
      <formula>$I$67="Neuf"</formula>
    </cfRule>
  </conditionalFormatting>
  <conditionalFormatting sqref="I90:I107">
    <cfRule type="expression" dxfId="81" priority="88">
      <formula>$I$67=""</formula>
    </cfRule>
    <cfRule type="expression" dxfId="80" priority="90" stopIfTrue="1">
      <formula>$I$67="Abandonné pour le projet"</formula>
    </cfRule>
  </conditionalFormatting>
  <conditionalFormatting sqref="I95:I96">
    <cfRule type="expression" dxfId="79" priority="94" stopIfTrue="1">
      <formula>$E$95&lt;&gt;"oui"</formula>
    </cfRule>
  </conditionalFormatting>
  <conditionalFormatting sqref="I125:R130">
    <cfRule type="expression" dxfId="78" priority="428">
      <formula>$F$125=2</formula>
    </cfRule>
  </conditionalFormatting>
  <conditionalFormatting sqref="I132:R137">
    <cfRule type="expression" dxfId="77" priority="431">
      <formula>$F$132=2</formula>
    </cfRule>
  </conditionalFormatting>
  <conditionalFormatting sqref="J70:J87">
    <cfRule type="expression" dxfId="76" priority="128">
      <formula>$J$67=""</formula>
    </cfRule>
    <cfRule type="expression" dxfId="75" priority="130" stopIfTrue="1">
      <formula>$J$67="Neuf"</formula>
    </cfRule>
  </conditionalFormatting>
  <conditionalFormatting sqref="J90:J107">
    <cfRule type="expression" dxfId="74" priority="81">
      <formula>$J$67=""</formula>
    </cfRule>
    <cfRule type="expression" dxfId="73" priority="83" stopIfTrue="1">
      <formula>$J$67="Abandonné pour le projet"</formula>
    </cfRule>
  </conditionalFormatting>
  <conditionalFormatting sqref="J95:J96">
    <cfRule type="expression" dxfId="72" priority="87" stopIfTrue="1">
      <formula>$E$95&lt;&gt;"oui"</formula>
    </cfRule>
  </conditionalFormatting>
  <conditionalFormatting sqref="J125:R130">
    <cfRule type="expression" dxfId="71" priority="429">
      <formula>$F$125=3</formula>
    </cfRule>
  </conditionalFormatting>
  <conditionalFormatting sqref="J132:R137">
    <cfRule type="expression" dxfId="70" priority="432">
      <formula>$F$132=3</formula>
    </cfRule>
  </conditionalFormatting>
  <conditionalFormatting sqref="K70:K87">
    <cfRule type="expression" dxfId="69" priority="122">
      <formula>$K$67=""</formula>
    </cfRule>
    <cfRule type="expression" dxfId="68" priority="124" stopIfTrue="1">
      <formula>$K$67="Neuf"</formula>
    </cfRule>
  </conditionalFormatting>
  <conditionalFormatting sqref="K90:K107">
    <cfRule type="expression" dxfId="67" priority="74">
      <formula>$K$67=""</formula>
    </cfRule>
    <cfRule type="expression" dxfId="66" priority="76" stopIfTrue="1">
      <formula>$K$67="Abandonné pour le projet"</formula>
    </cfRule>
  </conditionalFormatting>
  <conditionalFormatting sqref="K95:K96">
    <cfRule type="expression" dxfId="65" priority="80" stopIfTrue="1">
      <formula>$E$95&lt;&gt;"oui"</formula>
    </cfRule>
  </conditionalFormatting>
  <conditionalFormatting sqref="K125:R130">
    <cfRule type="expression" dxfId="64" priority="419">
      <formula>$F$125=4</formula>
    </cfRule>
  </conditionalFormatting>
  <conditionalFormatting sqref="K132:R137">
    <cfRule type="expression" dxfId="63" priority="434">
      <formula>$F$132=4</formula>
    </cfRule>
  </conditionalFormatting>
  <conditionalFormatting sqref="L70:L87">
    <cfRule type="expression" dxfId="62" priority="119">
      <formula>$L$67=""</formula>
    </cfRule>
    <cfRule type="expression" dxfId="61" priority="121" stopIfTrue="1">
      <formula>$L$67="Neuf"</formula>
    </cfRule>
  </conditionalFormatting>
  <conditionalFormatting sqref="L90:L107">
    <cfRule type="expression" dxfId="60" priority="67">
      <formula>$L$67=""</formula>
    </cfRule>
    <cfRule type="expression" dxfId="59" priority="69" stopIfTrue="1">
      <formula>$L$67="Abandonné pour le projet"</formula>
    </cfRule>
  </conditionalFormatting>
  <conditionalFormatting sqref="L95:L96">
    <cfRule type="expression" dxfId="58" priority="73" stopIfTrue="1">
      <formula>$E$95&lt;&gt;"oui"</formula>
    </cfRule>
  </conditionalFormatting>
  <conditionalFormatting sqref="L164">
    <cfRule type="containsText" dxfId="57" priority="409" operator="containsText" text="oui">
      <formula>NOT(ISERROR(SEARCH("oui",L164)))</formula>
    </cfRule>
  </conditionalFormatting>
  <conditionalFormatting sqref="L166">
    <cfRule type="containsText" dxfId="56" priority="408" operator="containsText" text="oui">
      <formula>NOT(ISERROR(SEARCH("oui",L166)))</formula>
    </cfRule>
  </conditionalFormatting>
  <conditionalFormatting sqref="L125:R130">
    <cfRule type="expression" dxfId="55" priority="418">
      <formula>$F$125=5</formula>
    </cfRule>
  </conditionalFormatting>
  <conditionalFormatting sqref="L132:R137">
    <cfRule type="expression" dxfId="54" priority="435">
      <formula>$F$132=5</formula>
    </cfRule>
  </conditionalFormatting>
  <conditionalFormatting sqref="M70:M87">
    <cfRule type="expression" dxfId="53" priority="116">
      <formula>$M$67=""</formula>
    </cfRule>
    <cfRule type="expression" dxfId="52" priority="118" stopIfTrue="1">
      <formula>$M$67="Neuf"</formula>
    </cfRule>
  </conditionalFormatting>
  <conditionalFormatting sqref="M90:M107">
    <cfRule type="expression" dxfId="51" priority="60">
      <formula>$M$67=""</formula>
    </cfRule>
    <cfRule type="expression" dxfId="50" priority="62" stopIfTrue="1">
      <formula>$M$67="Abandonné pour le projet"</formula>
    </cfRule>
  </conditionalFormatting>
  <conditionalFormatting sqref="M95:M96">
    <cfRule type="expression" dxfId="49" priority="66" stopIfTrue="1">
      <formula>$E$95&lt;&gt;"oui"</formula>
    </cfRule>
  </conditionalFormatting>
  <conditionalFormatting sqref="M125:R130">
    <cfRule type="expression" dxfId="48" priority="417">
      <formula>$F$125=6</formula>
    </cfRule>
  </conditionalFormatting>
  <conditionalFormatting sqref="N70:N87">
    <cfRule type="expression" dxfId="47" priority="113">
      <formula>$N$67=""</formula>
    </cfRule>
    <cfRule type="expression" dxfId="46" priority="115" stopIfTrue="1">
      <formula>$N$67="Neuf"</formula>
    </cfRule>
  </conditionalFormatting>
  <conditionalFormatting sqref="N90:N107">
    <cfRule type="expression" dxfId="45" priority="53">
      <formula>$N$67=""</formula>
    </cfRule>
    <cfRule type="expression" dxfId="44" priority="55" stopIfTrue="1">
      <formula>$N$67="Abandonné pour le projet"</formula>
    </cfRule>
  </conditionalFormatting>
  <conditionalFormatting sqref="N95:N96">
    <cfRule type="expression" dxfId="43" priority="59" stopIfTrue="1">
      <formula>$E$95&lt;&gt;"oui"</formula>
    </cfRule>
  </conditionalFormatting>
  <conditionalFormatting sqref="N125:R130">
    <cfRule type="expression" dxfId="42" priority="416">
      <formula>$F$125=7</formula>
    </cfRule>
  </conditionalFormatting>
  <conditionalFormatting sqref="O70:O87">
    <cfRule type="expression" dxfId="41" priority="110">
      <formula>$O$67=""</formula>
    </cfRule>
    <cfRule type="expression" dxfId="40" priority="112" stopIfTrue="1">
      <formula>$O$67="Neuf"</formula>
    </cfRule>
  </conditionalFormatting>
  <conditionalFormatting sqref="O90:O107">
    <cfRule type="expression" dxfId="39" priority="20">
      <formula>$O$67=""</formula>
    </cfRule>
    <cfRule type="expression" dxfId="38" priority="21" stopIfTrue="1">
      <formula>$O$67="Abandonné pour le projet"</formula>
    </cfRule>
  </conditionalFormatting>
  <conditionalFormatting sqref="O95:O96">
    <cfRule type="expression" dxfId="37" priority="24" stopIfTrue="1">
      <formula>$E$95&lt;&gt;"oui"</formula>
    </cfRule>
  </conditionalFormatting>
  <conditionalFormatting sqref="O125:R130">
    <cfRule type="expression" dxfId="36" priority="415">
      <formula>$F$125=8</formula>
    </cfRule>
  </conditionalFormatting>
  <conditionalFormatting sqref="P70:P87">
    <cfRule type="expression" dxfId="35" priority="107">
      <formula>$P$67=""</formula>
    </cfRule>
    <cfRule type="expression" dxfId="34" priority="109" stopIfTrue="1">
      <formula>$P$67="Neuf"</formula>
    </cfRule>
  </conditionalFormatting>
  <conditionalFormatting sqref="P75:P76">
    <cfRule type="expression" dxfId="33" priority="108">
      <formula>$P$75="non"</formula>
    </cfRule>
  </conditionalFormatting>
  <conditionalFormatting sqref="P90:P107">
    <cfRule type="expression" dxfId="32" priority="15">
      <formula>$P$67=""</formula>
    </cfRule>
    <cfRule type="expression" dxfId="31" priority="16" stopIfTrue="1">
      <formula>$P$67="Abandonné pour le projet"</formula>
    </cfRule>
  </conditionalFormatting>
  <conditionalFormatting sqref="P95:P96">
    <cfRule type="expression" dxfId="30" priority="19" stopIfTrue="1">
      <formula>$E$95&lt;&gt;"oui"</formula>
    </cfRule>
  </conditionalFormatting>
  <conditionalFormatting sqref="P125:R130">
    <cfRule type="expression" dxfId="29" priority="414">
      <formula>$F$125=9</formula>
    </cfRule>
  </conditionalFormatting>
  <conditionalFormatting sqref="Q70:Q87">
    <cfRule type="expression" dxfId="28" priority="104">
      <formula>$Q$67=""</formula>
    </cfRule>
    <cfRule type="expression" dxfId="27" priority="106" stopIfTrue="1">
      <formula>$Q$67="Neuf"</formula>
    </cfRule>
  </conditionalFormatting>
  <conditionalFormatting sqref="Q90:Q107">
    <cfRule type="expression" dxfId="26" priority="10">
      <formula>$Q$67=""</formula>
    </cfRule>
    <cfRule type="expression" dxfId="25" priority="11" stopIfTrue="1">
      <formula>$Q$67="Abandonné pour le projet"</formula>
    </cfRule>
  </conditionalFormatting>
  <conditionalFormatting sqref="Q95:Q96">
    <cfRule type="expression" dxfId="24" priority="14" stopIfTrue="1">
      <formula>$E$95&lt;&gt;"oui"</formula>
    </cfRule>
  </conditionalFormatting>
  <conditionalFormatting sqref="Q75:R76">
    <cfRule type="expression" dxfId="23" priority="102">
      <formula>$E$75="non"</formula>
    </cfRule>
  </conditionalFormatting>
  <conditionalFormatting sqref="Q125:R130">
    <cfRule type="expression" dxfId="22" priority="413">
      <formula>$F$125=10</formula>
    </cfRule>
  </conditionalFormatting>
  <conditionalFormatting sqref="R70:R87">
    <cfRule type="expression" dxfId="21" priority="101">
      <formula>$R$67=""</formula>
    </cfRule>
    <cfRule type="expression" dxfId="20" priority="103" stopIfTrue="1">
      <formula>$R$67="Neuf"</formula>
    </cfRule>
  </conditionalFormatting>
  <conditionalFormatting sqref="R90:R107">
    <cfRule type="expression" dxfId="19" priority="25">
      <formula>$R$67=""</formula>
    </cfRule>
    <cfRule type="expression" dxfId="18" priority="27" stopIfTrue="1">
      <formula>$R$67="Abandonné pour le projet"</formula>
    </cfRule>
  </conditionalFormatting>
  <conditionalFormatting sqref="R95:R96">
    <cfRule type="expression" dxfId="17" priority="31" stopIfTrue="1">
      <formula>$E$95&lt;&gt;"oui"</formula>
    </cfRule>
  </conditionalFormatting>
  <conditionalFormatting sqref="R125:R130">
    <cfRule type="expression" dxfId="16" priority="412">
      <formula>$F$125=11</formula>
    </cfRule>
  </conditionalFormatting>
  <dataValidations count="10">
    <dataValidation type="list" allowBlank="1" showInputMessage="1" sqref="G67:R67">
      <formula1>INDIRECT("B_neufexistant[Neuf/Existant]")</formula1>
    </dataValidation>
    <dataValidation type="list" allowBlank="1" showInputMessage="1" sqref="G24 G27">
      <formula1>INDIRECT("B_ouinon[Oui/non]")</formula1>
    </dataValidation>
    <dataValidation type="list" allowBlank="1" showInputMessage="1" showErrorMessage="1" sqref="H187">
      <formula1>$B$42:$B$43</formula1>
    </dataValidation>
    <dataValidation type="list" allowBlank="1" showInputMessage="1" showErrorMessage="1" sqref="F125">
      <formula1>$G$125:$R$125</formula1>
    </dataValidation>
    <dataValidation type="list" allowBlank="1" showInputMessage="1" showErrorMessage="1" sqref="F132">
      <formula1>"0,1,2,3,4,5,6,7,8,9,10,11,12"</formula1>
    </dataValidation>
    <dataValidation type="list" allowBlank="1" showInputMessage="1" showErrorMessage="1" sqref="G133:R133">
      <formula1>INDIRECT("B_natureducombustible[Nature du combustible]")</formula1>
    </dataValidation>
    <dataValidation type="list" allowBlank="1" showInputMessage="1" showErrorMessage="1" sqref="G203:G210">
      <formula1>INDIRECT("etapesdossier[Etapes_dossier]")</formula1>
    </dataValidation>
    <dataValidation type="list" allowBlank="1" showInputMessage="1" showErrorMessage="1" sqref="G128:R128">
      <formula1>INDIRECT("B_traitementpoussieres[Technologie_poussieres]")</formula1>
    </dataValidation>
    <dataValidation type="list" allowBlank="1" showInputMessage="1" showErrorMessage="1" sqref="G129:R129">
      <formula1>INDIRECT("B_traitementnox[Technologie_NOX]")</formula1>
    </dataValidation>
    <dataValidation type="list" allowBlank="1" showInputMessage="1" showErrorMessage="1" sqref="G130:R130">
      <formula1>INDIRECT("B_fluide[Fluide]")</formula1>
    </dataValidation>
  </dataValidations>
  <hyperlinks>
    <hyperlink ref="F154" r:id="rId1"/>
    <hyperlink ref="H124" r:id="rId2" display="https://www.ademe.fr/sites/default/files/assets/documents/bdd_chaudieres_biomasse.zip"/>
    <hyperlink ref="G9:H9" location="'Fiche projet biomasse'!B17" display="1 - Présentation du projet"/>
    <hyperlink ref="G10" location="'Fiche projet biomasse'!B60" display="2 - Description du site et des besoins thermiques actuels et futurs"/>
    <hyperlink ref="G11" location="'Fiche projet biomasse'!B113" display="3 - Caractéristiques techniques des installations aidées"/>
    <hyperlink ref="G12" location="'Fiche projet biomasse'!B175" display="4 - Plan d’approvisionnement en combustible(s) biomasse"/>
    <hyperlink ref="G13" location="'Fiche projet biomasse'!B175" display="5 - Récapitulatif des critères d’éligibilité"/>
    <hyperlink ref="G14" location="'Fiche projet biomasse'!B193" display="6 - Plan de financement"/>
    <hyperlink ref="B196:M196" r:id="rId3" display="Approvisionnement biomasse"/>
    <hyperlink ref="B194:G194" r:id="rId4" display="Emissions de poussières"/>
  </hyperlinks>
  <pageMargins left="0.7" right="0.7" top="0.75" bottom="0.75" header="0.3" footer="0.3"/>
  <pageSetup paperSize="9" scale="80" fitToWidth="0" fitToHeight="0" orientation="landscape" r:id="rId5"/>
  <rowBreaks count="1" manualBreakCount="1">
    <brk id="57" max="16383" man="1"/>
  </rowBreaks>
  <drawing r:id="rId6"/>
  <legacyDrawing r:id="rId7"/>
  <extLst>
    <ext xmlns:x14="http://schemas.microsoft.com/office/spreadsheetml/2009/9/main" uri="{78C0D931-6437-407d-A8EE-F0AAD7539E65}">
      <x14:conditionalFormattings>
        <x14:conditionalFormatting xmlns:xm="http://schemas.microsoft.com/office/excel/2006/main">
          <x14:cfRule type="iconSet" priority="7" id="{966F1A3E-DB02-4877-8CAC-E020394D4707}">
            <x14:iconSet custom="1">
              <x14:cfvo type="percent">
                <xm:f>0</xm:f>
              </x14:cfvo>
              <x14:cfvo type="num">
                <xm:f>0</xm:f>
              </x14:cfvo>
              <x14:cfvo type="num">
                <xm:f>0.85</xm:f>
              </x14:cfvo>
              <x14:cfIcon iconSet="3TrafficLights1" iconId="0"/>
              <x14:cfIcon iconSet="3TrafficLights1" iconId="0"/>
              <x14:cfIcon iconSet="3TrafficLights1" iconId="2"/>
            </x14:iconSet>
          </x14:cfRule>
          <xm:sqref>H189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'menus geothermie'!$X$7:$X$8</xm:f>
          </x14:formula1>
          <xm:sqref>G26</xm:sqref>
        </x14:dataValidation>
        <x14:dataValidation type="list" allowBlank="1" showInputMessage="1" showErrorMessage="1">
          <x14:formula1>
            <xm:f>'menus geothermie'!$V$6:$V$11</xm:f>
          </x14:formula1>
          <xm:sqref>G25</xm:sqref>
        </x14:dataValidation>
        <x14:dataValidation type="list" allowBlank="1" showInputMessage="1">
          <x14:formula1>
            <xm:f>'menus geothermie'!$C$7:$C$9</xm:f>
          </x14:formula1>
          <xm:sqref>E35:E37 L164 L166 E75 E95</xm:sqref>
        </x14:dataValidation>
        <x14:dataValidation type="list" allowBlank="1" showInputMessage="1" showErrorMessage="1">
          <x14:formula1>
            <xm:f>'menus geothermie'!$C$7:$C$8</xm:f>
          </x14:formula1>
          <xm:sqref>J165:J168</xm:sqref>
        </x14:dataValidation>
        <x14:dataValidation type="list" allowBlank="1" showInputMessage="1">
          <x14:formula1>
            <xm:f>'menus geothermie'!$Z$6:$Z$16</xm:f>
          </x14:formula1>
          <xm:sqref>G66:R66</xm:sqref>
        </x14:dataValidation>
        <x14:dataValidation type="list" allowBlank="1" showInputMessage="1">
          <x14:formula1>
            <xm:f>'[12]menus biomasse'!#REF!</xm:f>
          </x14:formula1>
          <xm:sqref>H184:H185 H191 H193 H197</xm:sqref>
        </x14:dataValidation>
        <x14:dataValidation type="list" allowBlank="1" showInputMessage="1" showErrorMessage="1">
          <x14:formula1>
            <xm:f>'[12]menus biomasse'!#REF!</xm:f>
          </x14:formula1>
          <xm:sqref>H186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pageSetUpPr fitToPage="1"/>
  </sheetPr>
  <dimension ref="A1:T196"/>
  <sheetViews>
    <sheetView showGridLines="0" topLeftCell="A73" zoomScale="70" zoomScaleNormal="70" workbookViewId="0">
      <selection activeCell="D40" sqref="D40"/>
    </sheetView>
  </sheetViews>
  <sheetFormatPr defaultColWidth="11.5546875" defaultRowHeight="13.2"/>
  <cols>
    <col min="1" max="1" width="5" style="113" customWidth="1"/>
    <col min="2" max="2" width="2.88671875" style="113" customWidth="1"/>
    <col min="3" max="3" width="25.6640625" style="113" customWidth="1"/>
    <col min="4" max="4" width="65.44140625" style="113" customWidth="1"/>
    <col min="5" max="6" width="21.5546875" style="113" customWidth="1"/>
    <col min="7" max="7" width="30.88671875" style="113" customWidth="1"/>
    <col min="8" max="8" width="18.109375" style="113" bestFit="1" customWidth="1"/>
    <col min="9" max="9" width="11.44140625" style="113" customWidth="1"/>
    <col min="10" max="10" width="11.44140625" style="113"/>
    <col min="11" max="11" width="58" style="113" customWidth="1"/>
    <col min="12" max="12" width="22.6640625" style="113" customWidth="1"/>
    <col min="13" max="13" width="13.88671875" style="113" customWidth="1"/>
    <col min="14" max="256" width="11.44140625" style="113"/>
    <col min="257" max="257" width="5" style="113" customWidth="1"/>
    <col min="258" max="258" width="2.88671875" style="113" customWidth="1"/>
    <col min="259" max="259" width="25.6640625" style="113" customWidth="1"/>
    <col min="260" max="260" width="65.44140625" style="113" customWidth="1"/>
    <col min="261" max="262" width="21.5546875" style="113" customWidth="1"/>
    <col min="263" max="263" width="30.88671875" style="113" customWidth="1"/>
    <col min="264" max="264" width="18.109375" style="113" bestFit="1" customWidth="1"/>
    <col min="265" max="265" width="11.44140625" style="113" customWidth="1"/>
    <col min="266" max="266" width="11.44140625" style="113"/>
    <col min="267" max="267" width="58" style="113" customWidth="1"/>
    <col min="268" max="268" width="22.6640625" style="113" customWidth="1"/>
    <col min="269" max="269" width="13.88671875" style="113" customWidth="1"/>
    <col min="270" max="512" width="11.44140625" style="113"/>
    <col min="513" max="513" width="5" style="113" customWidth="1"/>
    <col min="514" max="514" width="2.88671875" style="113" customWidth="1"/>
    <col min="515" max="515" width="25.6640625" style="113" customWidth="1"/>
    <col min="516" max="516" width="65.44140625" style="113" customWidth="1"/>
    <col min="517" max="518" width="21.5546875" style="113" customWidth="1"/>
    <col min="519" max="519" width="30.88671875" style="113" customWidth="1"/>
    <col min="520" max="520" width="18.109375" style="113" bestFit="1" customWidth="1"/>
    <col min="521" max="521" width="11.44140625" style="113" customWidth="1"/>
    <col min="522" max="522" width="11.44140625" style="113"/>
    <col min="523" max="523" width="58" style="113" customWidth="1"/>
    <col min="524" max="524" width="22.6640625" style="113" customWidth="1"/>
    <col min="525" max="525" width="13.88671875" style="113" customWidth="1"/>
    <col min="526" max="768" width="11.44140625" style="113"/>
    <col min="769" max="769" width="5" style="113" customWidth="1"/>
    <col min="770" max="770" width="2.88671875" style="113" customWidth="1"/>
    <col min="771" max="771" width="25.6640625" style="113" customWidth="1"/>
    <col min="772" max="772" width="65.44140625" style="113" customWidth="1"/>
    <col min="773" max="774" width="21.5546875" style="113" customWidth="1"/>
    <col min="775" max="775" width="30.88671875" style="113" customWidth="1"/>
    <col min="776" max="776" width="18.109375" style="113" bestFit="1" customWidth="1"/>
    <col min="777" max="777" width="11.44140625" style="113" customWidth="1"/>
    <col min="778" max="778" width="11.44140625" style="113"/>
    <col min="779" max="779" width="58" style="113" customWidth="1"/>
    <col min="780" max="780" width="22.6640625" style="113" customWidth="1"/>
    <col min="781" max="781" width="13.88671875" style="113" customWidth="1"/>
    <col min="782" max="1024" width="11.44140625" style="113"/>
    <col min="1025" max="1025" width="5" style="113" customWidth="1"/>
    <col min="1026" max="1026" width="2.88671875" style="113" customWidth="1"/>
    <col min="1027" max="1027" width="25.6640625" style="113" customWidth="1"/>
    <col min="1028" max="1028" width="65.44140625" style="113" customWidth="1"/>
    <col min="1029" max="1030" width="21.5546875" style="113" customWidth="1"/>
    <col min="1031" max="1031" width="30.88671875" style="113" customWidth="1"/>
    <col min="1032" max="1032" width="18.109375" style="113" bestFit="1" customWidth="1"/>
    <col min="1033" max="1033" width="11.44140625" style="113" customWidth="1"/>
    <col min="1034" max="1034" width="11.44140625" style="113"/>
    <col min="1035" max="1035" width="58" style="113" customWidth="1"/>
    <col min="1036" max="1036" width="22.6640625" style="113" customWidth="1"/>
    <col min="1037" max="1037" width="13.88671875" style="113" customWidth="1"/>
    <col min="1038" max="1280" width="11.44140625" style="113"/>
    <col min="1281" max="1281" width="5" style="113" customWidth="1"/>
    <col min="1282" max="1282" width="2.88671875" style="113" customWidth="1"/>
    <col min="1283" max="1283" width="25.6640625" style="113" customWidth="1"/>
    <col min="1284" max="1284" width="65.44140625" style="113" customWidth="1"/>
    <col min="1285" max="1286" width="21.5546875" style="113" customWidth="1"/>
    <col min="1287" max="1287" width="30.88671875" style="113" customWidth="1"/>
    <col min="1288" max="1288" width="18.109375" style="113" bestFit="1" customWidth="1"/>
    <col min="1289" max="1289" width="11.44140625" style="113" customWidth="1"/>
    <col min="1290" max="1290" width="11.44140625" style="113"/>
    <col min="1291" max="1291" width="58" style="113" customWidth="1"/>
    <col min="1292" max="1292" width="22.6640625" style="113" customWidth="1"/>
    <col min="1293" max="1293" width="13.88671875" style="113" customWidth="1"/>
    <col min="1294" max="1536" width="11.44140625" style="113"/>
    <col min="1537" max="1537" width="5" style="113" customWidth="1"/>
    <col min="1538" max="1538" width="2.88671875" style="113" customWidth="1"/>
    <col min="1539" max="1539" width="25.6640625" style="113" customWidth="1"/>
    <col min="1540" max="1540" width="65.44140625" style="113" customWidth="1"/>
    <col min="1541" max="1542" width="21.5546875" style="113" customWidth="1"/>
    <col min="1543" max="1543" width="30.88671875" style="113" customWidth="1"/>
    <col min="1544" max="1544" width="18.109375" style="113" bestFit="1" customWidth="1"/>
    <col min="1545" max="1545" width="11.44140625" style="113" customWidth="1"/>
    <col min="1546" max="1546" width="11.44140625" style="113"/>
    <col min="1547" max="1547" width="58" style="113" customWidth="1"/>
    <col min="1548" max="1548" width="22.6640625" style="113" customWidth="1"/>
    <col min="1549" max="1549" width="13.88671875" style="113" customWidth="1"/>
    <col min="1550" max="1792" width="11.44140625" style="113"/>
    <col min="1793" max="1793" width="5" style="113" customWidth="1"/>
    <col min="1794" max="1794" width="2.88671875" style="113" customWidth="1"/>
    <col min="1795" max="1795" width="25.6640625" style="113" customWidth="1"/>
    <col min="1796" max="1796" width="65.44140625" style="113" customWidth="1"/>
    <col min="1797" max="1798" width="21.5546875" style="113" customWidth="1"/>
    <col min="1799" max="1799" width="30.88671875" style="113" customWidth="1"/>
    <col min="1800" max="1800" width="18.109375" style="113" bestFit="1" customWidth="1"/>
    <col min="1801" max="1801" width="11.44140625" style="113" customWidth="1"/>
    <col min="1802" max="1802" width="11.44140625" style="113"/>
    <col min="1803" max="1803" width="58" style="113" customWidth="1"/>
    <col min="1804" max="1804" width="22.6640625" style="113" customWidth="1"/>
    <col min="1805" max="1805" width="13.88671875" style="113" customWidth="1"/>
    <col min="1806" max="2048" width="11.44140625" style="113"/>
    <col min="2049" max="2049" width="5" style="113" customWidth="1"/>
    <col min="2050" max="2050" width="2.88671875" style="113" customWidth="1"/>
    <col min="2051" max="2051" width="25.6640625" style="113" customWidth="1"/>
    <col min="2052" max="2052" width="65.44140625" style="113" customWidth="1"/>
    <col min="2053" max="2054" width="21.5546875" style="113" customWidth="1"/>
    <col min="2055" max="2055" width="30.88671875" style="113" customWidth="1"/>
    <col min="2056" max="2056" width="18.109375" style="113" bestFit="1" customWidth="1"/>
    <col min="2057" max="2057" width="11.44140625" style="113" customWidth="1"/>
    <col min="2058" max="2058" width="11.44140625" style="113"/>
    <col min="2059" max="2059" width="58" style="113" customWidth="1"/>
    <col min="2060" max="2060" width="22.6640625" style="113" customWidth="1"/>
    <col min="2061" max="2061" width="13.88671875" style="113" customWidth="1"/>
    <col min="2062" max="2304" width="11.44140625" style="113"/>
    <col min="2305" max="2305" width="5" style="113" customWidth="1"/>
    <col min="2306" max="2306" width="2.88671875" style="113" customWidth="1"/>
    <col min="2307" max="2307" width="25.6640625" style="113" customWidth="1"/>
    <col min="2308" max="2308" width="65.44140625" style="113" customWidth="1"/>
    <col min="2309" max="2310" width="21.5546875" style="113" customWidth="1"/>
    <col min="2311" max="2311" width="30.88671875" style="113" customWidth="1"/>
    <col min="2312" max="2312" width="18.109375" style="113" bestFit="1" customWidth="1"/>
    <col min="2313" max="2313" width="11.44140625" style="113" customWidth="1"/>
    <col min="2314" max="2314" width="11.44140625" style="113"/>
    <col min="2315" max="2315" width="58" style="113" customWidth="1"/>
    <col min="2316" max="2316" width="22.6640625" style="113" customWidth="1"/>
    <col min="2317" max="2317" width="13.88671875" style="113" customWidth="1"/>
    <col min="2318" max="2560" width="11.44140625" style="113"/>
    <col min="2561" max="2561" width="5" style="113" customWidth="1"/>
    <col min="2562" max="2562" width="2.88671875" style="113" customWidth="1"/>
    <col min="2563" max="2563" width="25.6640625" style="113" customWidth="1"/>
    <col min="2564" max="2564" width="65.44140625" style="113" customWidth="1"/>
    <col min="2565" max="2566" width="21.5546875" style="113" customWidth="1"/>
    <col min="2567" max="2567" width="30.88671875" style="113" customWidth="1"/>
    <col min="2568" max="2568" width="18.109375" style="113" bestFit="1" customWidth="1"/>
    <col min="2569" max="2569" width="11.44140625" style="113" customWidth="1"/>
    <col min="2570" max="2570" width="11.44140625" style="113"/>
    <col min="2571" max="2571" width="58" style="113" customWidth="1"/>
    <col min="2572" max="2572" width="22.6640625" style="113" customWidth="1"/>
    <col min="2573" max="2573" width="13.88671875" style="113" customWidth="1"/>
    <col min="2574" max="2816" width="11.44140625" style="113"/>
    <col min="2817" max="2817" width="5" style="113" customWidth="1"/>
    <col min="2818" max="2818" width="2.88671875" style="113" customWidth="1"/>
    <col min="2819" max="2819" width="25.6640625" style="113" customWidth="1"/>
    <col min="2820" max="2820" width="65.44140625" style="113" customWidth="1"/>
    <col min="2821" max="2822" width="21.5546875" style="113" customWidth="1"/>
    <col min="2823" max="2823" width="30.88671875" style="113" customWidth="1"/>
    <col min="2824" max="2824" width="18.109375" style="113" bestFit="1" customWidth="1"/>
    <col min="2825" max="2825" width="11.44140625" style="113" customWidth="1"/>
    <col min="2826" max="2826" width="11.44140625" style="113"/>
    <col min="2827" max="2827" width="58" style="113" customWidth="1"/>
    <col min="2828" max="2828" width="22.6640625" style="113" customWidth="1"/>
    <col min="2829" max="2829" width="13.88671875" style="113" customWidth="1"/>
    <col min="2830" max="3072" width="11.44140625" style="113"/>
    <col min="3073" max="3073" width="5" style="113" customWidth="1"/>
    <col min="3074" max="3074" width="2.88671875" style="113" customWidth="1"/>
    <col min="3075" max="3075" width="25.6640625" style="113" customWidth="1"/>
    <col min="3076" max="3076" width="65.44140625" style="113" customWidth="1"/>
    <col min="3077" max="3078" width="21.5546875" style="113" customWidth="1"/>
    <col min="3079" max="3079" width="30.88671875" style="113" customWidth="1"/>
    <col min="3080" max="3080" width="18.109375" style="113" bestFit="1" customWidth="1"/>
    <col min="3081" max="3081" width="11.44140625" style="113" customWidth="1"/>
    <col min="3082" max="3082" width="11.44140625" style="113"/>
    <col min="3083" max="3083" width="58" style="113" customWidth="1"/>
    <col min="3084" max="3084" width="22.6640625" style="113" customWidth="1"/>
    <col min="3085" max="3085" width="13.88671875" style="113" customWidth="1"/>
    <col min="3086" max="3328" width="11.44140625" style="113"/>
    <col min="3329" max="3329" width="5" style="113" customWidth="1"/>
    <col min="3330" max="3330" width="2.88671875" style="113" customWidth="1"/>
    <col min="3331" max="3331" width="25.6640625" style="113" customWidth="1"/>
    <col min="3332" max="3332" width="65.44140625" style="113" customWidth="1"/>
    <col min="3333" max="3334" width="21.5546875" style="113" customWidth="1"/>
    <col min="3335" max="3335" width="30.88671875" style="113" customWidth="1"/>
    <col min="3336" max="3336" width="18.109375" style="113" bestFit="1" customWidth="1"/>
    <col min="3337" max="3337" width="11.44140625" style="113" customWidth="1"/>
    <col min="3338" max="3338" width="11.44140625" style="113"/>
    <col min="3339" max="3339" width="58" style="113" customWidth="1"/>
    <col min="3340" max="3340" width="22.6640625" style="113" customWidth="1"/>
    <col min="3341" max="3341" width="13.88671875" style="113" customWidth="1"/>
    <col min="3342" max="3584" width="11.44140625" style="113"/>
    <col min="3585" max="3585" width="5" style="113" customWidth="1"/>
    <col min="3586" max="3586" width="2.88671875" style="113" customWidth="1"/>
    <col min="3587" max="3587" width="25.6640625" style="113" customWidth="1"/>
    <col min="3588" max="3588" width="65.44140625" style="113" customWidth="1"/>
    <col min="3589" max="3590" width="21.5546875" style="113" customWidth="1"/>
    <col min="3591" max="3591" width="30.88671875" style="113" customWidth="1"/>
    <col min="3592" max="3592" width="18.109375" style="113" bestFit="1" customWidth="1"/>
    <col min="3593" max="3593" width="11.44140625" style="113" customWidth="1"/>
    <col min="3594" max="3594" width="11.44140625" style="113"/>
    <col min="3595" max="3595" width="58" style="113" customWidth="1"/>
    <col min="3596" max="3596" width="22.6640625" style="113" customWidth="1"/>
    <col min="3597" max="3597" width="13.88671875" style="113" customWidth="1"/>
    <col min="3598" max="3840" width="11.44140625" style="113"/>
    <col min="3841" max="3841" width="5" style="113" customWidth="1"/>
    <col min="3842" max="3842" width="2.88671875" style="113" customWidth="1"/>
    <col min="3843" max="3843" width="25.6640625" style="113" customWidth="1"/>
    <col min="3844" max="3844" width="65.44140625" style="113" customWidth="1"/>
    <col min="3845" max="3846" width="21.5546875" style="113" customWidth="1"/>
    <col min="3847" max="3847" width="30.88671875" style="113" customWidth="1"/>
    <col min="3848" max="3848" width="18.109375" style="113" bestFit="1" customWidth="1"/>
    <col min="3849" max="3849" width="11.44140625" style="113" customWidth="1"/>
    <col min="3850" max="3850" width="11.44140625" style="113"/>
    <col min="3851" max="3851" width="58" style="113" customWidth="1"/>
    <col min="3852" max="3852" width="22.6640625" style="113" customWidth="1"/>
    <col min="3853" max="3853" width="13.88671875" style="113" customWidth="1"/>
    <col min="3854" max="4096" width="11.44140625" style="113"/>
    <col min="4097" max="4097" width="5" style="113" customWidth="1"/>
    <col min="4098" max="4098" width="2.88671875" style="113" customWidth="1"/>
    <col min="4099" max="4099" width="25.6640625" style="113" customWidth="1"/>
    <col min="4100" max="4100" width="65.44140625" style="113" customWidth="1"/>
    <col min="4101" max="4102" width="21.5546875" style="113" customWidth="1"/>
    <col min="4103" max="4103" width="30.88671875" style="113" customWidth="1"/>
    <col min="4104" max="4104" width="18.109375" style="113" bestFit="1" customWidth="1"/>
    <col min="4105" max="4105" width="11.44140625" style="113" customWidth="1"/>
    <col min="4106" max="4106" width="11.44140625" style="113"/>
    <col min="4107" max="4107" width="58" style="113" customWidth="1"/>
    <col min="4108" max="4108" width="22.6640625" style="113" customWidth="1"/>
    <col min="4109" max="4109" width="13.88671875" style="113" customWidth="1"/>
    <col min="4110" max="4352" width="11.44140625" style="113"/>
    <col min="4353" max="4353" width="5" style="113" customWidth="1"/>
    <col min="4354" max="4354" width="2.88671875" style="113" customWidth="1"/>
    <col min="4355" max="4355" width="25.6640625" style="113" customWidth="1"/>
    <col min="4356" max="4356" width="65.44140625" style="113" customWidth="1"/>
    <col min="4357" max="4358" width="21.5546875" style="113" customWidth="1"/>
    <col min="4359" max="4359" width="30.88671875" style="113" customWidth="1"/>
    <col min="4360" max="4360" width="18.109375" style="113" bestFit="1" customWidth="1"/>
    <col min="4361" max="4361" width="11.44140625" style="113" customWidth="1"/>
    <col min="4362" max="4362" width="11.44140625" style="113"/>
    <col min="4363" max="4363" width="58" style="113" customWidth="1"/>
    <col min="4364" max="4364" width="22.6640625" style="113" customWidth="1"/>
    <col min="4365" max="4365" width="13.88671875" style="113" customWidth="1"/>
    <col min="4366" max="4608" width="11.44140625" style="113"/>
    <col min="4609" max="4609" width="5" style="113" customWidth="1"/>
    <col min="4610" max="4610" width="2.88671875" style="113" customWidth="1"/>
    <col min="4611" max="4611" width="25.6640625" style="113" customWidth="1"/>
    <col min="4612" max="4612" width="65.44140625" style="113" customWidth="1"/>
    <col min="4613" max="4614" width="21.5546875" style="113" customWidth="1"/>
    <col min="4615" max="4615" width="30.88671875" style="113" customWidth="1"/>
    <col min="4616" max="4616" width="18.109375" style="113" bestFit="1" customWidth="1"/>
    <col min="4617" max="4617" width="11.44140625" style="113" customWidth="1"/>
    <col min="4618" max="4618" width="11.44140625" style="113"/>
    <col min="4619" max="4619" width="58" style="113" customWidth="1"/>
    <col min="4620" max="4620" width="22.6640625" style="113" customWidth="1"/>
    <col min="4621" max="4621" width="13.88671875" style="113" customWidth="1"/>
    <col min="4622" max="4864" width="11.44140625" style="113"/>
    <col min="4865" max="4865" width="5" style="113" customWidth="1"/>
    <col min="4866" max="4866" width="2.88671875" style="113" customWidth="1"/>
    <col min="4867" max="4867" width="25.6640625" style="113" customWidth="1"/>
    <col min="4868" max="4868" width="65.44140625" style="113" customWidth="1"/>
    <col min="4869" max="4870" width="21.5546875" style="113" customWidth="1"/>
    <col min="4871" max="4871" width="30.88671875" style="113" customWidth="1"/>
    <col min="4872" max="4872" width="18.109375" style="113" bestFit="1" customWidth="1"/>
    <col min="4873" max="4873" width="11.44140625" style="113" customWidth="1"/>
    <col min="4874" max="4874" width="11.44140625" style="113"/>
    <col min="4875" max="4875" width="58" style="113" customWidth="1"/>
    <col min="4876" max="4876" width="22.6640625" style="113" customWidth="1"/>
    <col min="4877" max="4877" width="13.88671875" style="113" customWidth="1"/>
    <col min="4878" max="5120" width="11.44140625" style="113"/>
    <col min="5121" max="5121" width="5" style="113" customWidth="1"/>
    <col min="5122" max="5122" width="2.88671875" style="113" customWidth="1"/>
    <col min="5123" max="5123" width="25.6640625" style="113" customWidth="1"/>
    <col min="5124" max="5124" width="65.44140625" style="113" customWidth="1"/>
    <col min="5125" max="5126" width="21.5546875" style="113" customWidth="1"/>
    <col min="5127" max="5127" width="30.88671875" style="113" customWidth="1"/>
    <col min="5128" max="5128" width="18.109375" style="113" bestFit="1" customWidth="1"/>
    <col min="5129" max="5129" width="11.44140625" style="113" customWidth="1"/>
    <col min="5130" max="5130" width="11.44140625" style="113"/>
    <col min="5131" max="5131" width="58" style="113" customWidth="1"/>
    <col min="5132" max="5132" width="22.6640625" style="113" customWidth="1"/>
    <col min="5133" max="5133" width="13.88671875" style="113" customWidth="1"/>
    <col min="5134" max="5376" width="11.44140625" style="113"/>
    <col min="5377" max="5377" width="5" style="113" customWidth="1"/>
    <col min="5378" max="5378" width="2.88671875" style="113" customWidth="1"/>
    <col min="5379" max="5379" width="25.6640625" style="113" customWidth="1"/>
    <col min="5380" max="5380" width="65.44140625" style="113" customWidth="1"/>
    <col min="5381" max="5382" width="21.5546875" style="113" customWidth="1"/>
    <col min="5383" max="5383" width="30.88671875" style="113" customWidth="1"/>
    <col min="5384" max="5384" width="18.109375" style="113" bestFit="1" customWidth="1"/>
    <col min="5385" max="5385" width="11.44140625" style="113" customWidth="1"/>
    <col min="5386" max="5386" width="11.44140625" style="113"/>
    <col min="5387" max="5387" width="58" style="113" customWidth="1"/>
    <col min="5388" max="5388" width="22.6640625" style="113" customWidth="1"/>
    <col min="5389" max="5389" width="13.88671875" style="113" customWidth="1"/>
    <col min="5390" max="5632" width="11.44140625" style="113"/>
    <col min="5633" max="5633" width="5" style="113" customWidth="1"/>
    <col min="5634" max="5634" width="2.88671875" style="113" customWidth="1"/>
    <col min="5635" max="5635" width="25.6640625" style="113" customWidth="1"/>
    <col min="5636" max="5636" width="65.44140625" style="113" customWidth="1"/>
    <col min="5637" max="5638" width="21.5546875" style="113" customWidth="1"/>
    <col min="5639" max="5639" width="30.88671875" style="113" customWidth="1"/>
    <col min="5640" max="5640" width="18.109375" style="113" bestFit="1" customWidth="1"/>
    <col min="5641" max="5641" width="11.44140625" style="113" customWidth="1"/>
    <col min="5642" max="5642" width="11.44140625" style="113"/>
    <col min="5643" max="5643" width="58" style="113" customWidth="1"/>
    <col min="5644" max="5644" width="22.6640625" style="113" customWidth="1"/>
    <col min="5645" max="5645" width="13.88671875" style="113" customWidth="1"/>
    <col min="5646" max="5888" width="11.44140625" style="113"/>
    <col min="5889" max="5889" width="5" style="113" customWidth="1"/>
    <col min="5890" max="5890" width="2.88671875" style="113" customWidth="1"/>
    <col min="5891" max="5891" width="25.6640625" style="113" customWidth="1"/>
    <col min="5892" max="5892" width="65.44140625" style="113" customWidth="1"/>
    <col min="5893" max="5894" width="21.5546875" style="113" customWidth="1"/>
    <col min="5895" max="5895" width="30.88671875" style="113" customWidth="1"/>
    <col min="5896" max="5896" width="18.109375" style="113" bestFit="1" customWidth="1"/>
    <col min="5897" max="5897" width="11.44140625" style="113" customWidth="1"/>
    <col min="5898" max="5898" width="11.44140625" style="113"/>
    <col min="5899" max="5899" width="58" style="113" customWidth="1"/>
    <col min="5900" max="5900" width="22.6640625" style="113" customWidth="1"/>
    <col min="5901" max="5901" width="13.88671875" style="113" customWidth="1"/>
    <col min="5902" max="6144" width="11.44140625" style="113"/>
    <col min="6145" max="6145" width="5" style="113" customWidth="1"/>
    <col min="6146" max="6146" width="2.88671875" style="113" customWidth="1"/>
    <col min="6147" max="6147" width="25.6640625" style="113" customWidth="1"/>
    <col min="6148" max="6148" width="65.44140625" style="113" customWidth="1"/>
    <col min="6149" max="6150" width="21.5546875" style="113" customWidth="1"/>
    <col min="6151" max="6151" width="30.88671875" style="113" customWidth="1"/>
    <col min="6152" max="6152" width="18.109375" style="113" bestFit="1" customWidth="1"/>
    <col min="6153" max="6153" width="11.44140625" style="113" customWidth="1"/>
    <col min="6154" max="6154" width="11.44140625" style="113"/>
    <col min="6155" max="6155" width="58" style="113" customWidth="1"/>
    <col min="6156" max="6156" width="22.6640625" style="113" customWidth="1"/>
    <col min="6157" max="6157" width="13.88671875" style="113" customWidth="1"/>
    <col min="6158" max="6400" width="11.44140625" style="113"/>
    <col min="6401" max="6401" width="5" style="113" customWidth="1"/>
    <col min="6402" max="6402" width="2.88671875" style="113" customWidth="1"/>
    <col min="6403" max="6403" width="25.6640625" style="113" customWidth="1"/>
    <col min="6404" max="6404" width="65.44140625" style="113" customWidth="1"/>
    <col min="6405" max="6406" width="21.5546875" style="113" customWidth="1"/>
    <col min="6407" max="6407" width="30.88671875" style="113" customWidth="1"/>
    <col min="6408" max="6408" width="18.109375" style="113" bestFit="1" customWidth="1"/>
    <col min="6409" max="6409" width="11.44140625" style="113" customWidth="1"/>
    <col min="6410" max="6410" width="11.44140625" style="113"/>
    <col min="6411" max="6411" width="58" style="113" customWidth="1"/>
    <col min="6412" max="6412" width="22.6640625" style="113" customWidth="1"/>
    <col min="6413" max="6413" width="13.88671875" style="113" customWidth="1"/>
    <col min="6414" max="6656" width="11.44140625" style="113"/>
    <col min="6657" max="6657" width="5" style="113" customWidth="1"/>
    <col min="6658" max="6658" width="2.88671875" style="113" customWidth="1"/>
    <col min="6659" max="6659" width="25.6640625" style="113" customWidth="1"/>
    <col min="6660" max="6660" width="65.44140625" style="113" customWidth="1"/>
    <col min="6661" max="6662" width="21.5546875" style="113" customWidth="1"/>
    <col min="6663" max="6663" width="30.88671875" style="113" customWidth="1"/>
    <col min="6664" max="6664" width="18.109375" style="113" bestFit="1" customWidth="1"/>
    <col min="6665" max="6665" width="11.44140625" style="113" customWidth="1"/>
    <col min="6666" max="6666" width="11.44140625" style="113"/>
    <col min="6667" max="6667" width="58" style="113" customWidth="1"/>
    <col min="6668" max="6668" width="22.6640625" style="113" customWidth="1"/>
    <col min="6669" max="6669" width="13.88671875" style="113" customWidth="1"/>
    <col min="6670" max="6912" width="11.44140625" style="113"/>
    <col min="6913" max="6913" width="5" style="113" customWidth="1"/>
    <col min="6914" max="6914" width="2.88671875" style="113" customWidth="1"/>
    <col min="6915" max="6915" width="25.6640625" style="113" customWidth="1"/>
    <col min="6916" max="6916" width="65.44140625" style="113" customWidth="1"/>
    <col min="6917" max="6918" width="21.5546875" style="113" customWidth="1"/>
    <col min="6919" max="6919" width="30.88671875" style="113" customWidth="1"/>
    <col min="6920" max="6920" width="18.109375" style="113" bestFit="1" customWidth="1"/>
    <col min="6921" max="6921" width="11.44140625" style="113" customWidth="1"/>
    <col min="6922" max="6922" width="11.44140625" style="113"/>
    <col min="6923" max="6923" width="58" style="113" customWidth="1"/>
    <col min="6924" max="6924" width="22.6640625" style="113" customWidth="1"/>
    <col min="6925" max="6925" width="13.88671875" style="113" customWidth="1"/>
    <col min="6926" max="7168" width="11.44140625" style="113"/>
    <col min="7169" max="7169" width="5" style="113" customWidth="1"/>
    <col min="7170" max="7170" width="2.88671875" style="113" customWidth="1"/>
    <col min="7171" max="7171" width="25.6640625" style="113" customWidth="1"/>
    <col min="7172" max="7172" width="65.44140625" style="113" customWidth="1"/>
    <col min="7173" max="7174" width="21.5546875" style="113" customWidth="1"/>
    <col min="7175" max="7175" width="30.88671875" style="113" customWidth="1"/>
    <col min="7176" max="7176" width="18.109375" style="113" bestFit="1" customWidth="1"/>
    <col min="7177" max="7177" width="11.44140625" style="113" customWidth="1"/>
    <col min="7178" max="7178" width="11.44140625" style="113"/>
    <col min="7179" max="7179" width="58" style="113" customWidth="1"/>
    <col min="7180" max="7180" width="22.6640625" style="113" customWidth="1"/>
    <col min="7181" max="7181" width="13.88671875" style="113" customWidth="1"/>
    <col min="7182" max="7424" width="11.44140625" style="113"/>
    <col min="7425" max="7425" width="5" style="113" customWidth="1"/>
    <col min="7426" max="7426" width="2.88671875" style="113" customWidth="1"/>
    <col min="7427" max="7427" width="25.6640625" style="113" customWidth="1"/>
    <col min="7428" max="7428" width="65.44140625" style="113" customWidth="1"/>
    <col min="7429" max="7430" width="21.5546875" style="113" customWidth="1"/>
    <col min="7431" max="7431" width="30.88671875" style="113" customWidth="1"/>
    <col min="7432" max="7432" width="18.109375" style="113" bestFit="1" customWidth="1"/>
    <col min="7433" max="7433" width="11.44140625" style="113" customWidth="1"/>
    <col min="7434" max="7434" width="11.44140625" style="113"/>
    <col min="7435" max="7435" width="58" style="113" customWidth="1"/>
    <col min="7436" max="7436" width="22.6640625" style="113" customWidth="1"/>
    <col min="7437" max="7437" width="13.88671875" style="113" customWidth="1"/>
    <col min="7438" max="7680" width="11.44140625" style="113"/>
    <col min="7681" max="7681" width="5" style="113" customWidth="1"/>
    <col min="7682" max="7682" width="2.88671875" style="113" customWidth="1"/>
    <col min="7683" max="7683" width="25.6640625" style="113" customWidth="1"/>
    <col min="7684" max="7684" width="65.44140625" style="113" customWidth="1"/>
    <col min="7685" max="7686" width="21.5546875" style="113" customWidth="1"/>
    <col min="7687" max="7687" width="30.88671875" style="113" customWidth="1"/>
    <col min="7688" max="7688" width="18.109375" style="113" bestFit="1" customWidth="1"/>
    <col min="7689" max="7689" width="11.44140625" style="113" customWidth="1"/>
    <col min="7690" max="7690" width="11.44140625" style="113"/>
    <col min="7691" max="7691" width="58" style="113" customWidth="1"/>
    <col min="7692" max="7692" width="22.6640625" style="113" customWidth="1"/>
    <col min="7693" max="7693" width="13.88671875" style="113" customWidth="1"/>
    <col min="7694" max="7936" width="11.44140625" style="113"/>
    <col min="7937" max="7937" width="5" style="113" customWidth="1"/>
    <col min="7938" max="7938" width="2.88671875" style="113" customWidth="1"/>
    <col min="7939" max="7939" width="25.6640625" style="113" customWidth="1"/>
    <col min="7940" max="7940" width="65.44140625" style="113" customWidth="1"/>
    <col min="7941" max="7942" width="21.5546875" style="113" customWidth="1"/>
    <col min="7943" max="7943" width="30.88671875" style="113" customWidth="1"/>
    <col min="7944" max="7944" width="18.109375" style="113" bestFit="1" customWidth="1"/>
    <col min="7945" max="7945" width="11.44140625" style="113" customWidth="1"/>
    <col min="7946" max="7946" width="11.44140625" style="113"/>
    <col min="7947" max="7947" width="58" style="113" customWidth="1"/>
    <col min="7948" max="7948" width="22.6640625" style="113" customWidth="1"/>
    <col min="7949" max="7949" width="13.88671875" style="113" customWidth="1"/>
    <col min="7950" max="8192" width="11.44140625" style="113"/>
    <col min="8193" max="8193" width="5" style="113" customWidth="1"/>
    <col min="8194" max="8194" width="2.88671875" style="113" customWidth="1"/>
    <col min="8195" max="8195" width="25.6640625" style="113" customWidth="1"/>
    <col min="8196" max="8196" width="65.44140625" style="113" customWidth="1"/>
    <col min="8197" max="8198" width="21.5546875" style="113" customWidth="1"/>
    <col min="8199" max="8199" width="30.88671875" style="113" customWidth="1"/>
    <col min="8200" max="8200" width="18.109375" style="113" bestFit="1" customWidth="1"/>
    <col min="8201" max="8201" width="11.44140625" style="113" customWidth="1"/>
    <col min="8202" max="8202" width="11.44140625" style="113"/>
    <col min="8203" max="8203" width="58" style="113" customWidth="1"/>
    <col min="8204" max="8204" width="22.6640625" style="113" customWidth="1"/>
    <col min="8205" max="8205" width="13.88671875" style="113" customWidth="1"/>
    <col min="8206" max="8448" width="11.44140625" style="113"/>
    <col min="8449" max="8449" width="5" style="113" customWidth="1"/>
    <col min="8450" max="8450" width="2.88671875" style="113" customWidth="1"/>
    <col min="8451" max="8451" width="25.6640625" style="113" customWidth="1"/>
    <col min="8452" max="8452" width="65.44140625" style="113" customWidth="1"/>
    <col min="8453" max="8454" width="21.5546875" style="113" customWidth="1"/>
    <col min="8455" max="8455" width="30.88671875" style="113" customWidth="1"/>
    <col min="8456" max="8456" width="18.109375" style="113" bestFit="1" customWidth="1"/>
    <col min="8457" max="8457" width="11.44140625" style="113" customWidth="1"/>
    <col min="8458" max="8458" width="11.44140625" style="113"/>
    <col min="8459" max="8459" width="58" style="113" customWidth="1"/>
    <col min="8460" max="8460" width="22.6640625" style="113" customWidth="1"/>
    <col min="8461" max="8461" width="13.88671875" style="113" customWidth="1"/>
    <col min="8462" max="8704" width="11.44140625" style="113"/>
    <col min="8705" max="8705" width="5" style="113" customWidth="1"/>
    <col min="8706" max="8706" width="2.88671875" style="113" customWidth="1"/>
    <col min="8707" max="8707" width="25.6640625" style="113" customWidth="1"/>
    <col min="8708" max="8708" width="65.44140625" style="113" customWidth="1"/>
    <col min="8709" max="8710" width="21.5546875" style="113" customWidth="1"/>
    <col min="8711" max="8711" width="30.88671875" style="113" customWidth="1"/>
    <col min="8712" max="8712" width="18.109375" style="113" bestFit="1" customWidth="1"/>
    <col min="8713" max="8713" width="11.44140625" style="113" customWidth="1"/>
    <col min="8714" max="8714" width="11.44140625" style="113"/>
    <col min="8715" max="8715" width="58" style="113" customWidth="1"/>
    <col min="8716" max="8716" width="22.6640625" style="113" customWidth="1"/>
    <col min="8717" max="8717" width="13.88671875" style="113" customWidth="1"/>
    <col min="8718" max="8960" width="11.44140625" style="113"/>
    <col min="8961" max="8961" width="5" style="113" customWidth="1"/>
    <col min="8962" max="8962" width="2.88671875" style="113" customWidth="1"/>
    <col min="8963" max="8963" width="25.6640625" style="113" customWidth="1"/>
    <col min="8964" max="8964" width="65.44140625" style="113" customWidth="1"/>
    <col min="8965" max="8966" width="21.5546875" style="113" customWidth="1"/>
    <col min="8967" max="8967" width="30.88671875" style="113" customWidth="1"/>
    <col min="8968" max="8968" width="18.109375" style="113" bestFit="1" customWidth="1"/>
    <col min="8969" max="8969" width="11.44140625" style="113" customWidth="1"/>
    <col min="8970" max="8970" width="11.44140625" style="113"/>
    <col min="8971" max="8971" width="58" style="113" customWidth="1"/>
    <col min="8972" max="8972" width="22.6640625" style="113" customWidth="1"/>
    <col min="8973" max="8973" width="13.88671875" style="113" customWidth="1"/>
    <col min="8974" max="9216" width="11.44140625" style="113"/>
    <col min="9217" max="9217" width="5" style="113" customWidth="1"/>
    <col min="9218" max="9218" width="2.88671875" style="113" customWidth="1"/>
    <col min="9219" max="9219" width="25.6640625" style="113" customWidth="1"/>
    <col min="9220" max="9220" width="65.44140625" style="113" customWidth="1"/>
    <col min="9221" max="9222" width="21.5546875" style="113" customWidth="1"/>
    <col min="9223" max="9223" width="30.88671875" style="113" customWidth="1"/>
    <col min="9224" max="9224" width="18.109375" style="113" bestFit="1" customWidth="1"/>
    <col min="9225" max="9225" width="11.44140625" style="113" customWidth="1"/>
    <col min="9226" max="9226" width="11.44140625" style="113"/>
    <col min="9227" max="9227" width="58" style="113" customWidth="1"/>
    <col min="9228" max="9228" width="22.6640625" style="113" customWidth="1"/>
    <col min="9229" max="9229" width="13.88671875" style="113" customWidth="1"/>
    <col min="9230" max="9472" width="11.44140625" style="113"/>
    <col min="9473" max="9473" width="5" style="113" customWidth="1"/>
    <col min="9474" max="9474" width="2.88671875" style="113" customWidth="1"/>
    <col min="9475" max="9475" width="25.6640625" style="113" customWidth="1"/>
    <col min="9476" max="9476" width="65.44140625" style="113" customWidth="1"/>
    <col min="9477" max="9478" width="21.5546875" style="113" customWidth="1"/>
    <col min="9479" max="9479" width="30.88671875" style="113" customWidth="1"/>
    <col min="9480" max="9480" width="18.109375" style="113" bestFit="1" customWidth="1"/>
    <col min="9481" max="9481" width="11.44140625" style="113" customWidth="1"/>
    <col min="9482" max="9482" width="11.44140625" style="113"/>
    <col min="9483" max="9483" width="58" style="113" customWidth="1"/>
    <col min="9484" max="9484" width="22.6640625" style="113" customWidth="1"/>
    <col min="9485" max="9485" width="13.88671875" style="113" customWidth="1"/>
    <col min="9486" max="9728" width="11.44140625" style="113"/>
    <col min="9729" max="9729" width="5" style="113" customWidth="1"/>
    <col min="9730" max="9730" width="2.88671875" style="113" customWidth="1"/>
    <col min="9731" max="9731" width="25.6640625" style="113" customWidth="1"/>
    <col min="9732" max="9732" width="65.44140625" style="113" customWidth="1"/>
    <col min="9733" max="9734" width="21.5546875" style="113" customWidth="1"/>
    <col min="9735" max="9735" width="30.88671875" style="113" customWidth="1"/>
    <col min="9736" max="9736" width="18.109375" style="113" bestFit="1" customWidth="1"/>
    <col min="9737" max="9737" width="11.44140625" style="113" customWidth="1"/>
    <col min="9738" max="9738" width="11.44140625" style="113"/>
    <col min="9739" max="9739" width="58" style="113" customWidth="1"/>
    <col min="9740" max="9740" width="22.6640625" style="113" customWidth="1"/>
    <col min="9741" max="9741" width="13.88671875" style="113" customWidth="1"/>
    <col min="9742" max="9984" width="11.44140625" style="113"/>
    <col min="9985" max="9985" width="5" style="113" customWidth="1"/>
    <col min="9986" max="9986" width="2.88671875" style="113" customWidth="1"/>
    <col min="9987" max="9987" width="25.6640625" style="113" customWidth="1"/>
    <col min="9988" max="9988" width="65.44140625" style="113" customWidth="1"/>
    <col min="9989" max="9990" width="21.5546875" style="113" customWidth="1"/>
    <col min="9991" max="9991" width="30.88671875" style="113" customWidth="1"/>
    <col min="9992" max="9992" width="18.109375" style="113" bestFit="1" customWidth="1"/>
    <col min="9993" max="9993" width="11.44140625" style="113" customWidth="1"/>
    <col min="9994" max="9994" width="11.44140625" style="113"/>
    <col min="9995" max="9995" width="58" style="113" customWidth="1"/>
    <col min="9996" max="9996" width="22.6640625" style="113" customWidth="1"/>
    <col min="9997" max="9997" width="13.88671875" style="113" customWidth="1"/>
    <col min="9998" max="10240" width="11.44140625" style="113"/>
    <col min="10241" max="10241" width="5" style="113" customWidth="1"/>
    <col min="10242" max="10242" width="2.88671875" style="113" customWidth="1"/>
    <col min="10243" max="10243" width="25.6640625" style="113" customWidth="1"/>
    <col min="10244" max="10244" width="65.44140625" style="113" customWidth="1"/>
    <col min="10245" max="10246" width="21.5546875" style="113" customWidth="1"/>
    <col min="10247" max="10247" width="30.88671875" style="113" customWidth="1"/>
    <col min="10248" max="10248" width="18.109375" style="113" bestFit="1" customWidth="1"/>
    <col min="10249" max="10249" width="11.44140625" style="113" customWidth="1"/>
    <col min="10250" max="10250" width="11.44140625" style="113"/>
    <col min="10251" max="10251" width="58" style="113" customWidth="1"/>
    <col min="10252" max="10252" width="22.6640625" style="113" customWidth="1"/>
    <col min="10253" max="10253" width="13.88671875" style="113" customWidth="1"/>
    <col min="10254" max="10496" width="11.44140625" style="113"/>
    <col min="10497" max="10497" width="5" style="113" customWidth="1"/>
    <col min="10498" max="10498" width="2.88671875" style="113" customWidth="1"/>
    <col min="10499" max="10499" width="25.6640625" style="113" customWidth="1"/>
    <col min="10500" max="10500" width="65.44140625" style="113" customWidth="1"/>
    <col min="10501" max="10502" width="21.5546875" style="113" customWidth="1"/>
    <col min="10503" max="10503" width="30.88671875" style="113" customWidth="1"/>
    <col min="10504" max="10504" width="18.109375" style="113" bestFit="1" customWidth="1"/>
    <col min="10505" max="10505" width="11.44140625" style="113" customWidth="1"/>
    <col min="10506" max="10506" width="11.44140625" style="113"/>
    <col min="10507" max="10507" width="58" style="113" customWidth="1"/>
    <col min="10508" max="10508" width="22.6640625" style="113" customWidth="1"/>
    <col min="10509" max="10509" width="13.88671875" style="113" customWidth="1"/>
    <col min="10510" max="10752" width="11.44140625" style="113"/>
    <col min="10753" max="10753" width="5" style="113" customWidth="1"/>
    <col min="10754" max="10754" width="2.88671875" style="113" customWidth="1"/>
    <col min="10755" max="10755" width="25.6640625" style="113" customWidth="1"/>
    <col min="10756" max="10756" width="65.44140625" style="113" customWidth="1"/>
    <col min="10757" max="10758" width="21.5546875" style="113" customWidth="1"/>
    <col min="10759" max="10759" width="30.88671875" style="113" customWidth="1"/>
    <col min="10760" max="10760" width="18.109375" style="113" bestFit="1" customWidth="1"/>
    <col min="10761" max="10761" width="11.44140625" style="113" customWidth="1"/>
    <col min="10762" max="10762" width="11.44140625" style="113"/>
    <col min="10763" max="10763" width="58" style="113" customWidth="1"/>
    <col min="10764" max="10764" width="22.6640625" style="113" customWidth="1"/>
    <col min="10765" max="10765" width="13.88671875" style="113" customWidth="1"/>
    <col min="10766" max="11008" width="11.44140625" style="113"/>
    <col min="11009" max="11009" width="5" style="113" customWidth="1"/>
    <col min="11010" max="11010" width="2.88671875" style="113" customWidth="1"/>
    <col min="11011" max="11011" width="25.6640625" style="113" customWidth="1"/>
    <col min="11012" max="11012" width="65.44140625" style="113" customWidth="1"/>
    <col min="11013" max="11014" width="21.5546875" style="113" customWidth="1"/>
    <col min="11015" max="11015" width="30.88671875" style="113" customWidth="1"/>
    <col min="11016" max="11016" width="18.109375" style="113" bestFit="1" customWidth="1"/>
    <col min="11017" max="11017" width="11.44140625" style="113" customWidth="1"/>
    <col min="11018" max="11018" width="11.44140625" style="113"/>
    <col min="11019" max="11019" width="58" style="113" customWidth="1"/>
    <col min="11020" max="11020" width="22.6640625" style="113" customWidth="1"/>
    <col min="11021" max="11021" width="13.88671875" style="113" customWidth="1"/>
    <col min="11022" max="11264" width="11.44140625" style="113"/>
    <col min="11265" max="11265" width="5" style="113" customWidth="1"/>
    <col min="11266" max="11266" width="2.88671875" style="113" customWidth="1"/>
    <col min="11267" max="11267" width="25.6640625" style="113" customWidth="1"/>
    <col min="11268" max="11268" width="65.44140625" style="113" customWidth="1"/>
    <col min="11269" max="11270" width="21.5546875" style="113" customWidth="1"/>
    <col min="11271" max="11271" width="30.88671875" style="113" customWidth="1"/>
    <col min="11272" max="11272" width="18.109375" style="113" bestFit="1" customWidth="1"/>
    <col min="11273" max="11273" width="11.44140625" style="113" customWidth="1"/>
    <col min="11274" max="11274" width="11.44140625" style="113"/>
    <col min="11275" max="11275" width="58" style="113" customWidth="1"/>
    <col min="11276" max="11276" width="22.6640625" style="113" customWidth="1"/>
    <col min="11277" max="11277" width="13.88671875" style="113" customWidth="1"/>
    <col min="11278" max="11520" width="11.44140625" style="113"/>
    <col min="11521" max="11521" width="5" style="113" customWidth="1"/>
    <col min="11522" max="11522" width="2.88671875" style="113" customWidth="1"/>
    <col min="11523" max="11523" width="25.6640625" style="113" customWidth="1"/>
    <col min="11524" max="11524" width="65.44140625" style="113" customWidth="1"/>
    <col min="11525" max="11526" width="21.5546875" style="113" customWidth="1"/>
    <col min="11527" max="11527" width="30.88671875" style="113" customWidth="1"/>
    <col min="11528" max="11528" width="18.109375" style="113" bestFit="1" customWidth="1"/>
    <col min="11529" max="11529" width="11.44140625" style="113" customWidth="1"/>
    <col min="11530" max="11530" width="11.44140625" style="113"/>
    <col min="11531" max="11531" width="58" style="113" customWidth="1"/>
    <col min="11532" max="11532" width="22.6640625" style="113" customWidth="1"/>
    <col min="11533" max="11533" width="13.88671875" style="113" customWidth="1"/>
    <col min="11534" max="11776" width="11.44140625" style="113"/>
    <col min="11777" max="11777" width="5" style="113" customWidth="1"/>
    <col min="11778" max="11778" width="2.88671875" style="113" customWidth="1"/>
    <col min="11779" max="11779" width="25.6640625" style="113" customWidth="1"/>
    <col min="11780" max="11780" width="65.44140625" style="113" customWidth="1"/>
    <col min="11781" max="11782" width="21.5546875" style="113" customWidth="1"/>
    <col min="11783" max="11783" width="30.88671875" style="113" customWidth="1"/>
    <col min="11784" max="11784" width="18.109375" style="113" bestFit="1" customWidth="1"/>
    <col min="11785" max="11785" width="11.44140625" style="113" customWidth="1"/>
    <col min="11786" max="11786" width="11.44140625" style="113"/>
    <col min="11787" max="11787" width="58" style="113" customWidth="1"/>
    <col min="11788" max="11788" width="22.6640625" style="113" customWidth="1"/>
    <col min="11789" max="11789" width="13.88671875" style="113" customWidth="1"/>
    <col min="11790" max="12032" width="11.44140625" style="113"/>
    <col min="12033" max="12033" width="5" style="113" customWidth="1"/>
    <col min="12034" max="12034" width="2.88671875" style="113" customWidth="1"/>
    <col min="12035" max="12035" width="25.6640625" style="113" customWidth="1"/>
    <col min="12036" max="12036" width="65.44140625" style="113" customWidth="1"/>
    <col min="12037" max="12038" width="21.5546875" style="113" customWidth="1"/>
    <col min="12039" max="12039" width="30.88671875" style="113" customWidth="1"/>
    <col min="12040" max="12040" width="18.109375" style="113" bestFit="1" customWidth="1"/>
    <col min="12041" max="12041" width="11.44140625" style="113" customWidth="1"/>
    <col min="12042" max="12042" width="11.44140625" style="113"/>
    <col min="12043" max="12043" width="58" style="113" customWidth="1"/>
    <col min="12044" max="12044" width="22.6640625" style="113" customWidth="1"/>
    <col min="12045" max="12045" width="13.88671875" style="113" customWidth="1"/>
    <col min="12046" max="12288" width="11.44140625" style="113"/>
    <col min="12289" max="12289" width="5" style="113" customWidth="1"/>
    <col min="12290" max="12290" width="2.88671875" style="113" customWidth="1"/>
    <col min="12291" max="12291" width="25.6640625" style="113" customWidth="1"/>
    <col min="12292" max="12292" width="65.44140625" style="113" customWidth="1"/>
    <col min="12293" max="12294" width="21.5546875" style="113" customWidth="1"/>
    <col min="12295" max="12295" width="30.88671875" style="113" customWidth="1"/>
    <col min="12296" max="12296" width="18.109375" style="113" bestFit="1" customWidth="1"/>
    <col min="12297" max="12297" width="11.44140625" style="113" customWidth="1"/>
    <col min="12298" max="12298" width="11.44140625" style="113"/>
    <col min="12299" max="12299" width="58" style="113" customWidth="1"/>
    <col min="12300" max="12300" width="22.6640625" style="113" customWidth="1"/>
    <col min="12301" max="12301" width="13.88671875" style="113" customWidth="1"/>
    <col min="12302" max="12544" width="11.44140625" style="113"/>
    <col min="12545" max="12545" width="5" style="113" customWidth="1"/>
    <col min="12546" max="12546" width="2.88671875" style="113" customWidth="1"/>
    <col min="12547" max="12547" width="25.6640625" style="113" customWidth="1"/>
    <col min="12548" max="12548" width="65.44140625" style="113" customWidth="1"/>
    <col min="12549" max="12550" width="21.5546875" style="113" customWidth="1"/>
    <col min="12551" max="12551" width="30.88671875" style="113" customWidth="1"/>
    <col min="12552" max="12552" width="18.109375" style="113" bestFit="1" customWidth="1"/>
    <col min="12553" max="12553" width="11.44140625" style="113" customWidth="1"/>
    <col min="12554" max="12554" width="11.44140625" style="113"/>
    <col min="12555" max="12555" width="58" style="113" customWidth="1"/>
    <col min="12556" max="12556" width="22.6640625" style="113" customWidth="1"/>
    <col min="12557" max="12557" width="13.88671875" style="113" customWidth="1"/>
    <col min="12558" max="12800" width="11.44140625" style="113"/>
    <col min="12801" max="12801" width="5" style="113" customWidth="1"/>
    <col min="12802" max="12802" width="2.88671875" style="113" customWidth="1"/>
    <col min="12803" max="12803" width="25.6640625" style="113" customWidth="1"/>
    <col min="12804" max="12804" width="65.44140625" style="113" customWidth="1"/>
    <col min="12805" max="12806" width="21.5546875" style="113" customWidth="1"/>
    <col min="12807" max="12807" width="30.88671875" style="113" customWidth="1"/>
    <col min="12808" max="12808" width="18.109375" style="113" bestFit="1" customWidth="1"/>
    <col min="12809" max="12809" width="11.44140625" style="113" customWidth="1"/>
    <col min="12810" max="12810" width="11.44140625" style="113"/>
    <col min="12811" max="12811" width="58" style="113" customWidth="1"/>
    <col min="12812" max="12812" width="22.6640625" style="113" customWidth="1"/>
    <col min="12813" max="12813" width="13.88671875" style="113" customWidth="1"/>
    <col min="12814" max="13056" width="11.44140625" style="113"/>
    <col min="13057" max="13057" width="5" style="113" customWidth="1"/>
    <col min="13058" max="13058" width="2.88671875" style="113" customWidth="1"/>
    <col min="13059" max="13059" width="25.6640625" style="113" customWidth="1"/>
    <col min="13060" max="13060" width="65.44140625" style="113" customWidth="1"/>
    <col min="13061" max="13062" width="21.5546875" style="113" customWidth="1"/>
    <col min="13063" max="13063" width="30.88671875" style="113" customWidth="1"/>
    <col min="13064" max="13064" width="18.109375" style="113" bestFit="1" customWidth="1"/>
    <col min="13065" max="13065" width="11.44140625" style="113" customWidth="1"/>
    <col min="13066" max="13066" width="11.44140625" style="113"/>
    <col min="13067" max="13067" width="58" style="113" customWidth="1"/>
    <col min="13068" max="13068" width="22.6640625" style="113" customWidth="1"/>
    <col min="13069" max="13069" width="13.88671875" style="113" customWidth="1"/>
    <col min="13070" max="13312" width="11.44140625" style="113"/>
    <col min="13313" max="13313" width="5" style="113" customWidth="1"/>
    <col min="13314" max="13314" width="2.88671875" style="113" customWidth="1"/>
    <col min="13315" max="13315" width="25.6640625" style="113" customWidth="1"/>
    <col min="13316" max="13316" width="65.44140625" style="113" customWidth="1"/>
    <col min="13317" max="13318" width="21.5546875" style="113" customWidth="1"/>
    <col min="13319" max="13319" width="30.88671875" style="113" customWidth="1"/>
    <col min="13320" max="13320" width="18.109375" style="113" bestFit="1" customWidth="1"/>
    <col min="13321" max="13321" width="11.44140625" style="113" customWidth="1"/>
    <col min="13322" max="13322" width="11.44140625" style="113"/>
    <col min="13323" max="13323" width="58" style="113" customWidth="1"/>
    <col min="13324" max="13324" width="22.6640625" style="113" customWidth="1"/>
    <col min="13325" max="13325" width="13.88671875" style="113" customWidth="1"/>
    <col min="13326" max="13568" width="11.44140625" style="113"/>
    <col min="13569" max="13569" width="5" style="113" customWidth="1"/>
    <col min="13570" max="13570" width="2.88671875" style="113" customWidth="1"/>
    <col min="13571" max="13571" width="25.6640625" style="113" customWidth="1"/>
    <col min="13572" max="13572" width="65.44140625" style="113" customWidth="1"/>
    <col min="13573" max="13574" width="21.5546875" style="113" customWidth="1"/>
    <col min="13575" max="13575" width="30.88671875" style="113" customWidth="1"/>
    <col min="13576" max="13576" width="18.109375" style="113" bestFit="1" customWidth="1"/>
    <col min="13577" max="13577" width="11.44140625" style="113" customWidth="1"/>
    <col min="13578" max="13578" width="11.44140625" style="113"/>
    <col min="13579" max="13579" width="58" style="113" customWidth="1"/>
    <col min="13580" max="13580" width="22.6640625" style="113" customWidth="1"/>
    <col min="13581" max="13581" width="13.88671875" style="113" customWidth="1"/>
    <col min="13582" max="13824" width="11.44140625" style="113"/>
    <col min="13825" max="13825" width="5" style="113" customWidth="1"/>
    <col min="13826" max="13826" width="2.88671875" style="113" customWidth="1"/>
    <col min="13827" max="13827" width="25.6640625" style="113" customWidth="1"/>
    <col min="13828" max="13828" width="65.44140625" style="113" customWidth="1"/>
    <col min="13829" max="13830" width="21.5546875" style="113" customWidth="1"/>
    <col min="13831" max="13831" width="30.88671875" style="113" customWidth="1"/>
    <col min="13832" max="13832" width="18.109375" style="113" bestFit="1" customWidth="1"/>
    <col min="13833" max="13833" width="11.44140625" style="113" customWidth="1"/>
    <col min="13834" max="13834" width="11.44140625" style="113"/>
    <col min="13835" max="13835" width="58" style="113" customWidth="1"/>
    <col min="13836" max="13836" width="22.6640625" style="113" customWidth="1"/>
    <col min="13837" max="13837" width="13.88671875" style="113" customWidth="1"/>
    <col min="13838" max="14080" width="11.44140625" style="113"/>
    <col min="14081" max="14081" width="5" style="113" customWidth="1"/>
    <col min="14082" max="14082" width="2.88671875" style="113" customWidth="1"/>
    <col min="14083" max="14083" width="25.6640625" style="113" customWidth="1"/>
    <col min="14084" max="14084" width="65.44140625" style="113" customWidth="1"/>
    <col min="14085" max="14086" width="21.5546875" style="113" customWidth="1"/>
    <col min="14087" max="14087" width="30.88671875" style="113" customWidth="1"/>
    <col min="14088" max="14088" width="18.109375" style="113" bestFit="1" customWidth="1"/>
    <col min="14089" max="14089" width="11.44140625" style="113" customWidth="1"/>
    <col min="14090" max="14090" width="11.44140625" style="113"/>
    <col min="14091" max="14091" width="58" style="113" customWidth="1"/>
    <col min="14092" max="14092" width="22.6640625" style="113" customWidth="1"/>
    <col min="14093" max="14093" width="13.88671875" style="113" customWidth="1"/>
    <col min="14094" max="14336" width="11.44140625" style="113"/>
    <col min="14337" max="14337" width="5" style="113" customWidth="1"/>
    <col min="14338" max="14338" width="2.88671875" style="113" customWidth="1"/>
    <col min="14339" max="14339" width="25.6640625" style="113" customWidth="1"/>
    <col min="14340" max="14340" width="65.44140625" style="113" customWidth="1"/>
    <col min="14341" max="14342" width="21.5546875" style="113" customWidth="1"/>
    <col min="14343" max="14343" width="30.88671875" style="113" customWidth="1"/>
    <col min="14344" max="14344" width="18.109375" style="113" bestFit="1" customWidth="1"/>
    <col min="14345" max="14345" width="11.44140625" style="113" customWidth="1"/>
    <col min="14346" max="14346" width="11.44140625" style="113"/>
    <col min="14347" max="14347" width="58" style="113" customWidth="1"/>
    <col min="14348" max="14348" width="22.6640625" style="113" customWidth="1"/>
    <col min="14349" max="14349" width="13.88671875" style="113" customWidth="1"/>
    <col min="14350" max="14592" width="11.44140625" style="113"/>
    <col min="14593" max="14593" width="5" style="113" customWidth="1"/>
    <col min="14594" max="14594" width="2.88671875" style="113" customWidth="1"/>
    <col min="14595" max="14595" width="25.6640625" style="113" customWidth="1"/>
    <col min="14596" max="14596" width="65.44140625" style="113" customWidth="1"/>
    <col min="14597" max="14598" width="21.5546875" style="113" customWidth="1"/>
    <col min="14599" max="14599" width="30.88671875" style="113" customWidth="1"/>
    <col min="14600" max="14600" width="18.109375" style="113" bestFit="1" customWidth="1"/>
    <col min="14601" max="14601" width="11.44140625" style="113" customWidth="1"/>
    <col min="14602" max="14602" width="11.44140625" style="113"/>
    <col min="14603" max="14603" width="58" style="113" customWidth="1"/>
    <col min="14604" max="14604" width="22.6640625" style="113" customWidth="1"/>
    <col min="14605" max="14605" width="13.88671875" style="113" customWidth="1"/>
    <col min="14606" max="14848" width="11.44140625" style="113"/>
    <col min="14849" max="14849" width="5" style="113" customWidth="1"/>
    <col min="14850" max="14850" width="2.88671875" style="113" customWidth="1"/>
    <col min="14851" max="14851" width="25.6640625" style="113" customWidth="1"/>
    <col min="14852" max="14852" width="65.44140625" style="113" customWidth="1"/>
    <col min="14853" max="14854" width="21.5546875" style="113" customWidth="1"/>
    <col min="14855" max="14855" width="30.88671875" style="113" customWidth="1"/>
    <col min="14856" max="14856" width="18.109375" style="113" bestFit="1" customWidth="1"/>
    <col min="14857" max="14857" width="11.44140625" style="113" customWidth="1"/>
    <col min="14858" max="14858" width="11.44140625" style="113"/>
    <col min="14859" max="14859" width="58" style="113" customWidth="1"/>
    <col min="14860" max="14860" width="22.6640625" style="113" customWidth="1"/>
    <col min="14861" max="14861" width="13.88671875" style="113" customWidth="1"/>
    <col min="14862" max="15104" width="11.44140625" style="113"/>
    <col min="15105" max="15105" width="5" style="113" customWidth="1"/>
    <col min="15106" max="15106" width="2.88671875" style="113" customWidth="1"/>
    <col min="15107" max="15107" width="25.6640625" style="113" customWidth="1"/>
    <col min="15108" max="15108" width="65.44140625" style="113" customWidth="1"/>
    <col min="15109" max="15110" width="21.5546875" style="113" customWidth="1"/>
    <col min="15111" max="15111" width="30.88671875" style="113" customWidth="1"/>
    <col min="15112" max="15112" width="18.109375" style="113" bestFit="1" customWidth="1"/>
    <col min="15113" max="15113" width="11.44140625" style="113" customWidth="1"/>
    <col min="15114" max="15114" width="11.44140625" style="113"/>
    <col min="15115" max="15115" width="58" style="113" customWidth="1"/>
    <col min="15116" max="15116" width="22.6640625" style="113" customWidth="1"/>
    <col min="15117" max="15117" width="13.88671875" style="113" customWidth="1"/>
    <col min="15118" max="15360" width="11.44140625" style="113"/>
    <col min="15361" max="15361" width="5" style="113" customWidth="1"/>
    <col min="15362" max="15362" width="2.88671875" style="113" customWidth="1"/>
    <col min="15363" max="15363" width="25.6640625" style="113" customWidth="1"/>
    <col min="15364" max="15364" width="65.44140625" style="113" customWidth="1"/>
    <col min="15365" max="15366" width="21.5546875" style="113" customWidth="1"/>
    <col min="15367" max="15367" width="30.88671875" style="113" customWidth="1"/>
    <col min="15368" max="15368" width="18.109375" style="113" bestFit="1" customWidth="1"/>
    <col min="15369" max="15369" width="11.44140625" style="113" customWidth="1"/>
    <col min="15370" max="15370" width="11.44140625" style="113"/>
    <col min="15371" max="15371" width="58" style="113" customWidth="1"/>
    <col min="15372" max="15372" width="22.6640625" style="113" customWidth="1"/>
    <col min="15373" max="15373" width="13.88671875" style="113" customWidth="1"/>
    <col min="15374" max="15616" width="11.44140625" style="113"/>
    <col min="15617" max="15617" width="5" style="113" customWidth="1"/>
    <col min="15618" max="15618" width="2.88671875" style="113" customWidth="1"/>
    <col min="15619" max="15619" width="25.6640625" style="113" customWidth="1"/>
    <col min="15620" max="15620" width="65.44140625" style="113" customWidth="1"/>
    <col min="15621" max="15622" width="21.5546875" style="113" customWidth="1"/>
    <col min="15623" max="15623" width="30.88671875" style="113" customWidth="1"/>
    <col min="15624" max="15624" width="18.109375" style="113" bestFit="1" customWidth="1"/>
    <col min="15625" max="15625" width="11.44140625" style="113" customWidth="1"/>
    <col min="15626" max="15626" width="11.44140625" style="113"/>
    <col min="15627" max="15627" width="58" style="113" customWidth="1"/>
    <col min="15628" max="15628" width="22.6640625" style="113" customWidth="1"/>
    <col min="15629" max="15629" width="13.88671875" style="113" customWidth="1"/>
    <col min="15630" max="15872" width="11.44140625" style="113"/>
    <col min="15873" max="15873" width="5" style="113" customWidth="1"/>
    <col min="15874" max="15874" width="2.88671875" style="113" customWidth="1"/>
    <col min="15875" max="15875" width="25.6640625" style="113" customWidth="1"/>
    <col min="15876" max="15876" width="65.44140625" style="113" customWidth="1"/>
    <col min="15877" max="15878" width="21.5546875" style="113" customWidth="1"/>
    <col min="15879" max="15879" width="30.88671875" style="113" customWidth="1"/>
    <col min="15880" max="15880" width="18.109375" style="113" bestFit="1" customWidth="1"/>
    <col min="15881" max="15881" width="11.44140625" style="113" customWidth="1"/>
    <col min="15882" max="15882" width="11.44140625" style="113"/>
    <col min="15883" max="15883" width="58" style="113" customWidth="1"/>
    <col min="15884" max="15884" width="22.6640625" style="113" customWidth="1"/>
    <col min="15885" max="15885" width="13.88671875" style="113" customWidth="1"/>
    <col min="15886" max="16128" width="11.44140625" style="113"/>
    <col min="16129" max="16129" width="5" style="113" customWidth="1"/>
    <col min="16130" max="16130" width="2.88671875" style="113" customWidth="1"/>
    <col min="16131" max="16131" width="25.6640625" style="113" customWidth="1"/>
    <col min="16132" max="16132" width="65.44140625" style="113" customWidth="1"/>
    <col min="16133" max="16134" width="21.5546875" style="113" customWidth="1"/>
    <col min="16135" max="16135" width="30.88671875" style="113" customWidth="1"/>
    <col min="16136" max="16136" width="18.109375" style="113" bestFit="1" customWidth="1"/>
    <col min="16137" max="16137" width="11.44140625" style="113" customWidth="1"/>
    <col min="16138" max="16138" width="11.44140625" style="113"/>
    <col min="16139" max="16139" width="58" style="113" customWidth="1"/>
    <col min="16140" max="16140" width="22.6640625" style="113" customWidth="1"/>
    <col min="16141" max="16141" width="13.88671875" style="113" customWidth="1"/>
    <col min="16142" max="16384" width="11.44140625" style="113"/>
  </cols>
  <sheetData>
    <row r="1" spans="3:7" ht="22.2" thickTop="1" thickBot="1">
      <c r="C1" s="3127" t="s">
        <v>631</v>
      </c>
      <c r="D1" s="3128"/>
      <c r="E1" s="3128"/>
      <c r="F1" s="3128"/>
      <c r="G1" s="3129"/>
    </row>
    <row r="2" spans="3:7" ht="34.5" customHeight="1" thickTop="1" thickBot="1">
      <c r="C2" s="3130" t="s">
        <v>632</v>
      </c>
      <c r="D2" s="3131"/>
      <c r="E2" s="3131"/>
      <c r="F2" s="3131"/>
      <c r="G2" s="3132"/>
    </row>
    <row r="3" spans="3:7" ht="15" customHeight="1" thickTop="1" thickBot="1"/>
    <row r="4" spans="3:7" ht="40.5" customHeight="1" thickBot="1">
      <c r="C4" s="552" t="s">
        <v>633</v>
      </c>
      <c r="D4" s="3133" t="s">
        <v>634</v>
      </c>
      <c r="E4" s="3134"/>
      <c r="F4" s="3134"/>
      <c r="G4" s="3135"/>
    </row>
    <row r="5" spans="3:7" ht="13.5" customHeight="1" thickBot="1">
      <c r="C5" s="553"/>
      <c r="D5" s="553"/>
      <c r="E5" s="553"/>
      <c r="F5" s="553"/>
      <c r="G5" s="553"/>
    </row>
    <row r="6" spans="3:7" ht="30" customHeight="1">
      <c r="C6" s="3124" t="s">
        <v>635</v>
      </c>
      <c r="D6" s="3136" t="s">
        <v>636</v>
      </c>
      <c r="E6" s="554"/>
      <c r="F6" s="555"/>
    </row>
    <row r="7" spans="3:7" ht="30" customHeight="1" thickBot="1">
      <c r="C7" s="3126"/>
      <c r="D7" s="3137"/>
      <c r="F7" s="555"/>
    </row>
    <row r="8" spans="3:7" ht="14.4" thickBot="1">
      <c r="C8" s="556"/>
      <c r="D8" s="557"/>
      <c r="F8" s="555"/>
    </row>
    <row r="9" spans="3:7" ht="12.75" customHeight="1">
      <c r="C9" s="3124" t="s">
        <v>358</v>
      </c>
      <c r="D9" s="558" t="s">
        <v>637</v>
      </c>
    </row>
    <row r="10" spans="3:7" ht="12.75" customHeight="1" thickBot="1">
      <c r="C10" s="3125"/>
      <c r="D10" s="559" t="s">
        <v>638</v>
      </c>
    </row>
    <row r="11" spans="3:7" ht="12.75" customHeight="1" thickTop="1" thickBot="1">
      <c r="C11" s="3125"/>
      <c r="D11" s="560" t="s">
        <v>639</v>
      </c>
      <c r="F11" s="555"/>
    </row>
    <row r="12" spans="3:7" ht="12.75" customHeight="1" thickTop="1">
      <c r="C12" s="3125"/>
      <c r="D12" s="561" t="s">
        <v>640</v>
      </c>
      <c r="F12" s="555"/>
    </row>
    <row r="13" spans="3:7" ht="12.75" customHeight="1" thickBot="1">
      <c r="C13" s="3126"/>
      <c r="D13" s="562" t="s">
        <v>641</v>
      </c>
      <c r="F13" s="555"/>
    </row>
    <row r="14" spans="3:7" ht="13.8" thickBot="1">
      <c r="D14" s="555"/>
      <c r="F14" s="555"/>
    </row>
    <row r="15" spans="3:7" ht="50.1" customHeight="1" thickBot="1">
      <c r="C15" s="563" t="s">
        <v>642</v>
      </c>
      <c r="D15" s="3105" t="s">
        <v>643</v>
      </c>
      <c r="E15" s="3106"/>
      <c r="F15" s="3106"/>
      <c r="G15" s="3107"/>
    </row>
    <row r="16" spans="3:7" ht="10.5" customHeight="1" thickBot="1">
      <c r="C16" s="556"/>
      <c r="D16" s="557"/>
      <c r="F16" s="555"/>
    </row>
    <row r="17" spans="1:8" ht="22.2" thickTop="1" thickBot="1">
      <c r="D17" s="564"/>
      <c r="E17" s="565" t="s">
        <v>644</v>
      </c>
      <c r="F17" s="565" t="s">
        <v>645</v>
      </c>
      <c r="G17" s="565" t="s">
        <v>646</v>
      </c>
    </row>
    <row r="18" spans="1:8" ht="13.5" customHeight="1" thickTop="1">
      <c r="A18" s="3108" t="s">
        <v>647</v>
      </c>
      <c r="C18" s="3111" t="s">
        <v>648</v>
      </c>
      <c r="D18" s="784" t="s">
        <v>649</v>
      </c>
      <c r="E18" s="3115"/>
      <c r="F18" s="3116"/>
      <c r="G18" s="566"/>
    </row>
    <row r="19" spans="1:8">
      <c r="A19" s="3109"/>
      <c r="C19" s="3112"/>
      <c r="D19" s="785" t="s">
        <v>650</v>
      </c>
      <c r="E19" s="3117"/>
      <c r="F19" s="3118"/>
      <c r="G19" s="567"/>
    </row>
    <row r="20" spans="1:8">
      <c r="A20" s="3109"/>
      <c r="C20" s="3112"/>
      <c r="D20" s="785" t="s">
        <v>651</v>
      </c>
      <c r="E20" s="786"/>
      <c r="F20" s="787"/>
      <c r="G20" s="567"/>
    </row>
    <row r="21" spans="1:8" ht="14.25" customHeight="1">
      <c r="A21" s="3109"/>
      <c r="C21" s="3113"/>
      <c r="D21" s="785" t="s">
        <v>652</v>
      </c>
      <c r="E21" s="3119"/>
      <c r="F21" s="3120"/>
      <c r="G21" s="567"/>
    </row>
    <row r="22" spans="1:8">
      <c r="A22" s="3109"/>
      <c r="C22" s="3113"/>
      <c r="D22" s="568" t="s">
        <v>653</v>
      </c>
      <c r="E22" s="790" t="s">
        <v>654</v>
      </c>
      <c r="F22" s="792"/>
      <c r="G22" s="788"/>
    </row>
    <row r="23" spans="1:8">
      <c r="A23" s="3109"/>
      <c r="C23" s="3113"/>
      <c r="D23" s="569" t="s">
        <v>655</v>
      </c>
      <c r="E23" s="790" t="s">
        <v>75</v>
      </c>
      <c r="F23" s="793"/>
      <c r="G23" s="788"/>
    </row>
    <row r="24" spans="1:8" ht="13.5" customHeight="1" thickBot="1">
      <c r="A24" s="3109"/>
      <c r="C24" s="3114"/>
      <c r="D24" s="570" t="s">
        <v>656</v>
      </c>
      <c r="E24" s="791" t="s">
        <v>657</v>
      </c>
      <c r="F24" s="794"/>
      <c r="G24" s="789"/>
    </row>
    <row r="25" spans="1:8" ht="14.4" thickTop="1" thickBot="1">
      <c r="A25" s="3109"/>
      <c r="B25" s="572"/>
      <c r="C25" s="572"/>
      <c r="D25" s="572"/>
      <c r="E25" s="566"/>
      <c r="F25" s="566"/>
      <c r="G25" s="567"/>
    </row>
    <row r="26" spans="1:8" ht="14.25" customHeight="1" thickTop="1" thickBot="1">
      <c r="A26" s="3109"/>
      <c r="C26" s="3121" t="s">
        <v>658</v>
      </c>
      <c r="D26" s="573" t="s">
        <v>659</v>
      </c>
      <c r="E26" s="574">
        <v>14844</v>
      </c>
      <c r="F26" s="795"/>
      <c r="G26" s="567"/>
    </row>
    <row r="27" spans="1:8" ht="14.25" customHeight="1" thickTop="1" thickBot="1">
      <c r="A27" s="3109"/>
      <c r="C27" s="3122"/>
      <c r="D27" s="575" t="s">
        <v>660</v>
      </c>
      <c r="E27" s="576">
        <v>559</v>
      </c>
      <c r="F27" s="796"/>
      <c r="G27" s="567"/>
    </row>
    <row r="28" spans="1:8" ht="15" thickTop="1">
      <c r="A28" s="3109"/>
      <c r="C28" s="3122"/>
      <c r="D28" s="577" t="s">
        <v>661</v>
      </c>
      <c r="E28" s="578">
        <v>4.75</v>
      </c>
      <c r="F28" s="796"/>
      <c r="G28" s="567" t="str">
        <f>IF(OR(E28&lt;2.5,E28&gt;5),"Vérifier la valeur du COP","")</f>
        <v/>
      </c>
      <c r="H28" s="579"/>
    </row>
    <row r="29" spans="1:8" ht="15" thickBot="1">
      <c r="A29" s="3109"/>
      <c r="C29" s="3123"/>
      <c r="D29" s="580" t="s">
        <v>662</v>
      </c>
      <c r="E29" s="581">
        <v>4.5999999999999996</v>
      </c>
      <c r="F29" s="797"/>
      <c r="G29" s="567" t="str">
        <f>IF(OR(E29&gt;=4.5),"OK", "Non Eligible")</f>
        <v>OK</v>
      </c>
    </row>
    <row r="30" spans="1:8" ht="14.4" thickTop="1" thickBot="1">
      <c r="A30" s="3109"/>
      <c r="C30" s="582"/>
      <c r="D30" s="583"/>
      <c r="E30" s="584"/>
      <c r="F30" s="798"/>
      <c r="G30" s="566"/>
    </row>
    <row r="31" spans="1:8" ht="12.75" customHeight="1" thickTop="1">
      <c r="A31" s="3109"/>
      <c r="C31" s="3094" t="s">
        <v>663</v>
      </c>
      <c r="D31" s="585" t="s">
        <v>664</v>
      </c>
      <c r="E31" s="586">
        <v>156</v>
      </c>
      <c r="F31" s="799"/>
      <c r="G31" s="566" t="str">
        <f>IF(E31&lt;15,"Risque de recyclage","")</f>
        <v/>
      </c>
    </row>
    <row r="32" spans="1:8" ht="12.75" customHeight="1">
      <c r="A32" s="3109"/>
      <c r="C32" s="3095"/>
      <c r="D32" s="568" t="s">
        <v>665</v>
      </c>
      <c r="E32" s="587">
        <v>88</v>
      </c>
      <c r="F32" s="800"/>
      <c r="G32" s="566"/>
    </row>
    <row r="33" spans="1:10" ht="12.75" customHeight="1">
      <c r="A33" s="3109"/>
      <c r="C33" s="3095"/>
      <c r="D33" s="568" t="s">
        <v>666</v>
      </c>
      <c r="E33" s="587">
        <v>2</v>
      </c>
      <c r="F33" s="800"/>
      <c r="G33" s="566"/>
    </row>
    <row r="34" spans="1:10" ht="12.75" customHeight="1">
      <c r="A34" s="3109"/>
      <c r="C34" s="3095"/>
      <c r="D34" s="568" t="s">
        <v>667</v>
      </c>
      <c r="E34" s="588"/>
      <c r="F34" s="801"/>
      <c r="G34" s="566"/>
      <c r="H34" s="590"/>
    </row>
    <row r="35" spans="1:10" ht="12.75" customHeight="1" thickBot="1">
      <c r="A35" s="3110"/>
      <c r="C35" s="3096"/>
      <c r="D35" s="591" t="s">
        <v>668</v>
      </c>
      <c r="E35" s="592" t="s">
        <v>188</v>
      </c>
      <c r="F35" s="802"/>
      <c r="G35" s="566"/>
    </row>
    <row r="36" spans="1:10" ht="15" thickTop="1" thickBot="1">
      <c r="A36" s="593"/>
      <c r="C36" s="556"/>
      <c r="D36" s="557"/>
      <c r="F36" s="803"/>
    </row>
    <row r="37" spans="1:10" ht="13.5" customHeight="1" thickTop="1" thickBot="1">
      <c r="A37" s="3097" t="s">
        <v>669</v>
      </c>
      <c r="C37" s="594"/>
      <c r="D37" s="595" t="s">
        <v>670</v>
      </c>
      <c r="E37" s="596"/>
      <c r="F37" s="804"/>
      <c r="G37" s="566"/>
    </row>
    <row r="38" spans="1:10" ht="13.5" customHeight="1" thickTop="1">
      <c r="A38" s="3097"/>
      <c r="B38" s="597"/>
      <c r="C38" s="3071" t="s">
        <v>671</v>
      </c>
      <c r="D38" s="598" t="s">
        <v>672</v>
      </c>
      <c r="E38" s="599">
        <v>2000</v>
      </c>
      <c r="F38" s="805">
        <f>E38</f>
        <v>2000</v>
      </c>
      <c r="G38" s="566"/>
    </row>
    <row r="39" spans="1:10" ht="12.75" customHeight="1">
      <c r="A39" s="3097"/>
      <c r="B39" s="597"/>
      <c r="C39" s="3071"/>
      <c r="D39" s="600" t="s">
        <v>673</v>
      </c>
      <c r="E39" s="601">
        <v>0.9</v>
      </c>
      <c r="F39" s="801"/>
      <c r="G39" s="566"/>
    </row>
    <row r="40" spans="1:10" ht="12.75" customHeight="1">
      <c r="A40" s="3097"/>
      <c r="B40" s="597"/>
      <c r="C40" s="3071"/>
      <c r="D40" s="600" t="s">
        <v>674</v>
      </c>
      <c r="E40" s="602">
        <f>(E38*E39)</f>
        <v>1800</v>
      </c>
      <c r="F40" s="806"/>
      <c r="G40" s="566"/>
    </row>
    <row r="41" spans="1:10" ht="12.75" customHeight="1">
      <c r="A41" s="3097"/>
      <c r="B41" s="597"/>
      <c r="C41" s="3071"/>
      <c r="D41" s="600" t="s">
        <v>675</v>
      </c>
      <c r="E41" s="603">
        <f>E40/E28</f>
        <v>378.94736842105266</v>
      </c>
      <c r="F41" s="807"/>
      <c r="G41" s="566"/>
      <c r="H41" s="604"/>
      <c r="I41" s="605"/>
    </row>
    <row r="42" spans="1:10" ht="12.75" customHeight="1">
      <c r="A42" s="3097"/>
      <c r="B42" s="597"/>
      <c r="C42" s="3071"/>
      <c r="D42" s="600" t="s">
        <v>676</v>
      </c>
      <c r="E42" s="603">
        <f>IF(E35="Oui",((E27-(E27/E28))*(60000+(150*E34)+(10000*E32))/(Cp_eau*delta_T*rendement_moteur*1000*3.6)*nbr_h_fonctionnement/1000000+(((E27-(E27/E28))*130000)/(Cp_eau_glycolée*delta_T*rendement_echangeur*1000*3.6)*2000/1000000)),((E27-(E27/E28))*(60000+(150*E34)+(10000*E32))/(Cp_eau*delta_T*rendement_moteur*1000*3.6)*nbr_h_fonctionnement/1000000))</f>
        <v>54.564860761804738</v>
      </c>
      <c r="F42" s="808">
        <f>IF(F44=Gaz_nat,F48*0.206,IF(F44=Propane,F48*0.23,IF(F44=Fuel,F48*0.271,IF(F44=Elec,F48*0.18,0))))</f>
        <v>468.18181818181813</v>
      </c>
      <c r="G42" s="606"/>
      <c r="I42" s="605"/>
    </row>
    <row r="43" spans="1:10" ht="12.75" customHeight="1">
      <c r="A43" s="3097"/>
      <c r="B43" s="597"/>
      <c r="C43" s="3071"/>
      <c r="D43" s="607" t="s">
        <v>677</v>
      </c>
      <c r="E43" s="608">
        <f>E27/E28</f>
        <v>117.68421052631579</v>
      </c>
      <c r="F43" s="809"/>
      <c r="G43" s="606"/>
      <c r="I43" s="605"/>
    </row>
    <row r="44" spans="1:10">
      <c r="A44" s="3097"/>
      <c r="B44" s="597"/>
      <c r="C44" s="3071"/>
      <c r="D44" s="609" t="s">
        <v>678</v>
      </c>
      <c r="E44" s="610" t="s">
        <v>147</v>
      </c>
      <c r="F44" s="810" t="s">
        <v>147</v>
      </c>
      <c r="G44" s="566" t="str">
        <f>IF(AND(E44&lt;&gt;E55,OR(E55=F170,E55=F171,E55=F172)),"Vérifier l'appoint","")</f>
        <v/>
      </c>
      <c r="H44" s="604"/>
      <c r="I44" s="604"/>
    </row>
    <row r="45" spans="1:10" ht="12.75" customHeight="1">
      <c r="A45" s="3097"/>
      <c r="B45" s="597"/>
      <c r="C45" s="3071"/>
      <c r="D45" s="600" t="s">
        <v>679</v>
      </c>
      <c r="E45" s="611">
        <v>559</v>
      </c>
      <c r="F45" s="811">
        <v>559</v>
      </c>
      <c r="G45" s="566" t="str">
        <f>IF(OR(AND(E44=F169,E45&gt;0),AND(E44&lt;&gt;F169,E45=0)),"Complétez E44 ou E45","")</f>
        <v/>
      </c>
      <c r="H45" s="604"/>
      <c r="I45" s="604"/>
    </row>
    <row r="46" spans="1:10" ht="12.75" customHeight="1">
      <c r="A46" s="3097"/>
      <c r="B46" s="597"/>
      <c r="C46" s="3071"/>
      <c r="D46" s="600" t="s">
        <v>680</v>
      </c>
      <c r="E46" s="612">
        <f>IF(E44=F173,100%,IF(E44=F169,0,85%))</f>
        <v>0.85</v>
      </c>
      <c r="F46" s="812">
        <f>IF(F44=F172,100%,IF(F44=F168,0,IF(OR(F44=F169,F44=F170,F44=F171),88%,0)))</f>
        <v>0.88</v>
      </c>
      <c r="G46" s="613"/>
      <c r="H46" s="604"/>
      <c r="I46" s="604"/>
    </row>
    <row r="47" spans="1:10" ht="12.75" customHeight="1">
      <c r="A47" s="3097"/>
      <c r="B47" s="597"/>
      <c r="C47" s="3071"/>
      <c r="D47" s="607" t="s">
        <v>681</v>
      </c>
      <c r="E47" s="603">
        <f>IF(E44=F169,0,E38*(1-E39)/E46)</f>
        <v>235.29411764705875</v>
      </c>
      <c r="F47" s="813">
        <f>F38/F46</f>
        <v>2272.7272727272725</v>
      </c>
      <c r="G47" s="566"/>
      <c r="H47" s="604"/>
      <c r="I47" s="604"/>
    </row>
    <row r="48" spans="1:10" ht="13.5" customHeight="1" thickBot="1">
      <c r="A48" s="3097"/>
      <c r="B48" s="597"/>
      <c r="C48" s="3071"/>
      <c r="D48" s="614" t="s">
        <v>682</v>
      </c>
      <c r="E48" s="615">
        <f>E42+E41+E47</f>
        <v>668.80634682991615</v>
      </c>
      <c r="F48" s="814">
        <f>F47</f>
        <v>2272.7272727272725</v>
      </c>
      <c r="G48" s="566"/>
      <c r="H48" s="604"/>
      <c r="I48" s="604"/>
      <c r="J48" s="616"/>
    </row>
    <row r="49" spans="1:14" ht="13.5" customHeight="1" thickTop="1" thickBot="1">
      <c r="A49" s="3097"/>
      <c r="B49" s="597"/>
      <c r="C49" s="3071"/>
      <c r="D49" s="617"/>
      <c r="E49" s="606"/>
      <c r="F49" s="815"/>
      <c r="I49" s="604"/>
      <c r="J49" s="616"/>
    </row>
    <row r="50" spans="1:14" ht="13.5" customHeight="1" thickTop="1" thickBot="1">
      <c r="A50" s="3097"/>
      <c r="B50" s="597"/>
      <c r="C50" s="3071"/>
      <c r="D50" s="618" t="s">
        <v>434</v>
      </c>
      <c r="E50" s="596"/>
      <c r="F50" s="804"/>
      <c r="G50" s="566"/>
      <c r="H50" s="616"/>
      <c r="I50" s="604"/>
      <c r="J50" s="616"/>
    </row>
    <row r="51" spans="1:14" ht="13.8" thickTop="1">
      <c r="A51" s="3097"/>
      <c r="B51" s="597"/>
      <c r="C51" s="3071"/>
      <c r="D51" s="598" t="s">
        <v>683</v>
      </c>
      <c r="E51" s="619">
        <v>134.4</v>
      </c>
      <c r="F51" s="816">
        <f>E51</f>
        <v>134.4</v>
      </c>
      <c r="G51" s="566"/>
      <c r="H51" s="616"/>
      <c r="J51" s="616"/>
    </row>
    <row r="52" spans="1:14" ht="13.5" customHeight="1">
      <c r="A52" s="3097"/>
      <c r="B52" s="597"/>
      <c r="C52" s="3071"/>
      <c r="D52" s="600" t="s">
        <v>684</v>
      </c>
      <c r="E52" s="620">
        <v>0.5</v>
      </c>
      <c r="F52" s="807"/>
      <c r="G52" s="567" t="str">
        <f>IF(F51&gt;E38,"Cas particulier","")</f>
        <v/>
      </c>
      <c r="H52" s="616"/>
      <c r="I52" s="616"/>
      <c r="J52" s="616"/>
    </row>
    <row r="53" spans="1:14" ht="13.5" customHeight="1">
      <c r="A53" s="3097"/>
      <c r="B53" s="597"/>
      <c r="C53" s="3071"/>
      <c r="D53" s="600" t="s">
        <v>685</v>
      </c>
      <c r="E53" s="603">
        <f>(E51-E57)/E28</f>
        <v>12.715789473684211</v>
      </c>
      <c r="F53" s="811">
        <f>F51/F56</f>
        <v>152.72727272727272</v>
      </c>
      <c r="H53" s="616"/>
      <c r="I53" s="616"/>
      <c r="J53" s="616"/>
    </row>
    <row r="54" spans="1:14" ht="12.75" customHeight="1">
      <c r="A54" s="3097"/>
      <c r="B54" s="597"/>
      <c r="C54" s="3071"/>
      <c r="D54" s="600" t="s">
        <v>686</v>
      </c>
      <c r="E54" s="603">
        <f>(E59+E60)</f>
        <v>0.95585065676581915</v>
      </c>
      <c r="F54" s="807"/>
      <c r="G54" s="621"/>
      <c r="I54" s="616"/>
      <c r="J54" s="616"/>
    </row>
    <row r="55" spans="1:14" ht="12.75" customHeight="1">
      <c r="A55" s="3097"/>
      <c r="B55" s="597"/>
      <c r="C55" s="3071"/>
      <c r="D55" s="600" t="s">
        <v>687</v>
      </c>
      <c r="E55" s="610" t="s">
        <v>688</v>
      </c>
      <c r="F55" s="817" t="s">
        <v>689</v>
      </c>
      <c r="G55" s="606"/>
      <c r="H55" s="616"/>
    </row>
    <row r="56" spans="1:14" ht="12.75" customHeight="1">
      <c r="A56" s="3097"/>
      <c r="B56" s="597"/>
      <c r="C56" s="3071"/>
      <c r="D56" s="607" t="s">
        <v>690</v>
      </c>
      <c r="E56" s="622"/>
      <c r="F56" s="818">
        <f>IF(F55=C174,F46,1)</f>
        <v>0.88</v>
      </c>
      <c r="G56" s="621" t="str">
        <f>IF(AND(E51&gt;0,F55=""),"Type de référence ?","")</f>
        <v/>
      </c>
      <c r="H56" s="616"/>
      <c r="I56" s="616"/>
      <c r="J56" s="616"/>
    </row>
    <row r="57" spans="1:14" ht="12.75" customHeight="1">
      <c r="A57" s="3097"/>
      <c r="B57" s="597"/>
      <c r="C57" s="3071"/>
      <c r="D57" s="600" t="s">
        <v>691</v>
      </c>
      <c r="E57" s="623">
        <v>74</v>
      </c>
      <c r="F57" s="808">
        <f>IF(AND(F55=C174,F44=Gaz_nat),F61*0.206,IF(AND(F55=C174,F44=Propane),F61*0.23,IF(AND(F55=C174,F44=Fuel),F61*0.271,IF(OR(F55=C173,AND(F55=C174,F44=Elec)),F61*0.18,0))))</f>
        <v>31.461818181818177</v>
      </c>
      <c r="G57" s="606"/>
      <c r="H57" s="616"/>
      <c r="I57" s="616"/>
      <c r="J57" s="616"/>
    </row>
    <row r="58" spans="1:14" ht="12.75" customHeight="1">
      <c r="A58" s="3097"/>
      <c r="B58" s="597"/>
      <c r="C58" s="3071"/>
      <c r="D58" s="600" t="s">
        <v>692</v>
      </c>
      <c r="E58" s="624">
        <f>IF(E55=F173,100%,IF(E55=F169,0,85%))</f>
        <v>1</v>
      </c>
      <c r="F58" s="807"/>
      <c r="G58" s="606" t="s">
        <v>693</v>
      </c>
      <c r="H58" s="616"/>
      <c r="I58" s="616"/>
      <c r="J58" s="616"/>
    </row>
    <row r="59" spans="1:14" ht="12.75" customHeight="1">
      <c r="A59" s="3097"/>
      <c r="B59" s="597"/>
      <c r="C59" s="3071"/>
      <c r="D59" s="607" t="s">
        <v>694</v>
      </c>
      <c r="E59" s="608">
        <f>IF(E35="Oui",((E27-E43)*(60000+(150*E34)+(10000*E32))/1.1625/6/0.7/1000/3.6*(IF((E51-E57)&lt;E38,2000*((E51-E57)*E52/((E51-E57)-((E51-E57)*E52)+E38)),2100))/1000000+(((E27-E43)*130000)/1.11/5/0.65/1000/3.6*(IF((E51-E57)&lt;E38,2000*((E51-E57)*E52/((E51-E57)-((E51-E57)*E52)+E38)),2100))/1000000)),((E27-E43)*(60000+(150*E34)+(10000*E32))/1.1625/6/0.7/1000/3.6*(IF((E51-E57)&lt;E38,2000*((E51-E57)*E52/((E51-E57)-((E51-E57)*E52)+E38)),2100))/1000000))</f>
        <v>0.8335775070140482</v>
      </c>
      <c r="F59" s="809"/>
      <c r="G59" s="613"/>
      <c r="H59" s="616"/>
      <c r="I59" s="616"/>
      <c r="J59" s="616"/>
    </row>
    <row r="60" spans="1:14" ht="12.75" customHeight="1">
      <c r="A60" s="3097"/>
      <c r="B60" s="597"/>
      <c r="C60" s="3071"/>
      <c r="D60" s="607" t="s">
        <v>695</v>
      </c>
      <c r="E60" s="608">
        <f>(E27*200000)/1.1625/10/0.65/1000/3.6*(IF((E51-E57)&lt;E38,2000*((E51-E57)*E52/((E51-E57)-((E51-E57)*E52)+E38)),2100))/1000000</f>
        <v>0.12227314975177095</v>
      </c>
      <c r="F60" s="809"/>
      <c r="G60" s="606"/>
      <c r="H60" s="616"/>
      <c r="I60" s="616"/>
      <c r="J60" s="616"/>
      <c r="N60" s="605"/>
    </row>
    <row r="61" spans="1:14" ht="12.75" customHeight="1" thickBot="1">
      <c r="A61" s="3097"/>
      <c r="B61" s="597"/>
      <c r="C61" s="3071"/>
      <c r="D61" s="625" t="s">
        <v>696</v>
      </c>
      <c r="E61" s="615">
        <f>IF(E55=Pas_appoint,E53+E54,E53+E54+(E57/E58))</f>
        <v>87.671640130450029</v>
      </c>
      <c r="F61" s="814">
        <f>F53</f>
        <v>152.72727272727272</v>
      </c>
      <c r="G61" s="566"/>
      <c r="H61" s="616"/>
      <c r="I61" s="616"/>
      <c r="J61" s="616"/>
    </row>
    <row r="62" spans="1:14" ht="12.75" customHeight="1" thickTop="1" thickBot="1">
      <c r="A62" s="3097"/>
      <c r="B62" s="597"/>
      <c r="C62" s="3071"/>
      <c r="D62" s="626" t="s">
        <v>697</v>
      </c>
      <c r="E62" s="627">
        <f>($E$40-$E$41-$E$42)+($E$51-$E$57-$E$53-$E$54)</f>
        <v>1413.2161306866924</v>
      </c>
      <c r="F62" s="819"/>
      <c r="G62" s="567" t="str">
        <f>IF(E62&gt;=70,"OK", "Non Eligible")</f>
        <v>OK</v>
      </c>
      <c r="H62" s="571" t="str">
        <f>IF(AND(E62&gt;50,E62&lt;1000),"aide forfaitaire","analyse éco simplifiée")</f>
        <v>analyse éco simplifiée</v>
      </c>
      <c r="I62" s="616"/>
      <c r="J62" s="616"/>
    </row>
    <row r="63" spans="1:14" ht="13.5" customHeight="1" thickTop="1" thickBot="1">
      <c r="A63" s="3097"/>
      <c r="B63" s="597"/>
      <c r="C63" s="3071"/>
      <c r="D63" s="617"/>
      <c r="E63" s="606"/>
      <c r="F63" s="606"/>
      <c r="G63" s="566"/>
      <c r="H63" s="616"/>
      <c r="I63" s="616"/>
      <c r="J63" s="616"/>
    </row>
    <row r="64" spans="1:14" ht="14.4" thickTop="1" thickBot="1">
      <c r="A64" s="3097"/>
      <c r="B64" s="597"/>
      <c r="C64" s="3071"/>
      <c r="D64" s="618" t="s">
        <v>698</v>
      </c>
      <c r="E64" s="628" t="s">
        <v>699</v>
      </c>
      <c r="F64" s="629"/>
      <c r="G64" s="566"/>
      <c r="H64" s="616"/>
      <c r="I64" s="616"/>
      <c r="J64" s="616"/>
    </row>
    <row r="65" spans="1:10" ht="14.25" customHeight="1" thickTop="1" thickBot="1">
      <c r="A65" s="3097"/>
      <c r="B65" s="597"/>
      <c r="C65" s="3071"/>
      <c r="D65" s="598" t="s">
        <v>700</v>
      </c>
      <c r="E65" s="619">
        <v>0</v>
      </c>
      <c r="F65" s="820">
        <f>E65</f>
        <v>0</v>
      </c>
      <c r="G65" s="572" t="str">
        <f>IF(OR(F65="",F65=0),"",IF(F65&gt;=F38,"La solution de référence est un(des) groupe(s) froid(s) aérothermique(s) classique(s)","La solution de référence inclut une(des) chaudière(s) sur énergie fossile ET un(des) groupes froid(s) aérothermique(s) classique(s)"))</f>
        <v/>
      </c>
      <c r="H65" s="616"/>
      <c r="I65" s="616"/>
      <c r="J65" s="616"/>
    </row>
    <row r="66" spans="1:10" ht="14.25" customHeight="1" thickTop="1" thickBot="1">
      <c r="A66" s="3097"/>
      <c r="B66" s="597"/>
      <c r="C66" s="3071"/>
      <c r="D66" s="630" t="s">
        <v>701</v>
      </c>
      <c r="E66" s="631"/>
      <c r="F66" s="801"/>
      <c r="G66" s="566"/>
      <c r="H66" s="616"/>
      <c r="I66" s="616"/>
      <c r="J66" s="616"/>
    </row>
    <row r="67" spans="1:10" ht="14.25" customHeight="1" thickTop="1">
      <c r="A67" s="3097"/>
      <c r="B67" s="597"/>
      <c r="C67" s="3071"/>
      <c r="D67" s="600" t="s">
        <v>702</v>
      </c>
      <c r="E67" s="632"/>
      <c r="F67" s="821"/>
      <c r="G67" s="566"/>
      <c r="H67" s="616"/>
      <c r="I67" s="616"/>
      <c r="J67" s="616"/>
    </row>
    <row r="68" spans="1:10" ht="13.5" customHeight="1">
      <c r="A68" s="3097"/>
      <c r="B68" s="597"/>
      <c r="C68" s="3071"/>
      <c r="D68" s="600" t="s">
        <v>703</v>
      </c>
      <c r="E68" s="633"/>
      <c r="F68" s="801"/>
      <c r="G68" s="566"/>
      <c r="H68" s="590"/>
    </row>
    <row r="69" spans="1:10" ht="12.75" customHeight="1">
      <c r="A69" s="3097"/>
      <c r="B69" s="597"/>
      <c r="C69" s="3071"/>
      <c r="D69" s="600" t="s">
        <v>704</v>
      </c>
      <c r="E69" s="633"/>
      <c r="F69" s="801"/>
      <c r="G69" s="566"/>
    </row>
    <row r="70" spans="1:10" ht="12.75" customHeight="1">
      <c r="A70" s="3097"/>
      <c r="B70" s="597"/>
      <c r="C70" s="3071"/>
      <c r="D70" s="600" t="s">
        <v>705</v>
      </c>
      <c r="E70" s="634">
        <f>E65-E68-E69</f>
        <v>0</v>
      </c>
      <c r="F70" s="801"/>
      <c r="G70" s="566"/>
    </row>
    <row r="71" spans="1:10" ht="12.75" customHeight="1">
      <c r="A71" s="3097"/>
      <c r="B71" s="597"/>
      <c r="C71" s="3071"/>
      <c r="D71" s="600" t="s">
        <v>685</v>
      </c>
      <c r="E71" s="603">
        <f>(E65-E68-E69)/4.5</f>
        <v>0</v>
      </c>
      <c r="F71" s="811">
        <f>F65/3.5</f>
        <v>0</v>
      </c>
      <c r="G71" s="566"/>
    </row>
    <row r="72" spans="1:10" ht="12.75" customHeight="1">
      <c r="A72" s="3097"/>
      <c r="B72" s="597"/>
      <c r="C72" s="3071"/>
      <c r="D72" s="600" t="s">
        <v>686</v>
      </c>
      <c r="E72" s="603">
        <f>E42/2000*(IF((E65-E68)&lt;E38,2000*(E65-E68)/E38,2100))</f>
        <v>0</v>
      </c>
      <c r="F72" s="801"/>
      <c r="G72" s="567" t="str">
        <f>IF(F65&gt;E38,"Cas particulier","")</f>
        <v/>
      </c>
    </row>
    <row r="73" spans="1:10" ht="12.75" customHeight="1" thickBot="1">
      <c r="A73" s="3097"/>
      <c r="B73" s="597"/>
      <c r="C73" s="3071"/>
      <c r="D73" s="625" t="s">
        <v>706</v>
      </c>
      <c r="E73" s="635">
        <f>E72+E71</f>
        <v>0</v>
      </c>
      <c r="F73" s="814">
        <f>F71</f>
        <v>0</v>
      </c>
      <c r="G73" s="567"/>
    </row>
    <row r="74" spans="1:10" ht="13.5" customHeight="1" thickTop="1" thickBot="1">
      <c r="A74" s="3097"/>
      <c r="B74" s="597"/>
      <c r="C74" s="3071"/>
      <c r="D74" s="617"/>
      <c r="E74" s="606"/>
      <c r="F74" s="606"/>
      <c r="G74" s="567"/>
    </row>
    <row r="75" spans="1:10" ht="14.4" thickTop="1" thickBot="1">
      <c r="A75" s="3097"/>
      <c r="B75" s="597"/>
      <c r="C75" s="3071"/>
      <c r="D75" s="636" t="s">
        <v>707</v>
      </c>
      <c r="E75" s="637">
        <f>IF(E66="",(E40+E51)*1000/E27,((E40+E51)*1000)/E27+((E65-E68-E69)*1000)/E66)</f>
        <v>3460.4651162790697</v>
      </c>
      <c r="F75" s="822"/>
      <c r="G75" s="3098" t="str">
        <f>IF(AND(E65=0,E75&gt;=1000),"OK",IF(AND(E65&gt;0,E75&gt;=1500),"OK","Non Eligible - vérifier si l'installation n'est pas surdimensionnée"))</f>
        <v>OK</v>
      </c>
      <c r="H75" s="3099"/>
      <c r="I75" s="3099"/>
    </row>
    <row r="76" spans="1:10" ht="14.4" thickTop="1" thickBot="1">
      <c r="A76" s="3097"/>
      <c r="B76" s="597"/>
      <c r="C76" s="3071"/>
      <c r="D76" s="617"/>
      <c r="E76" s="606"/>
      <c r="F76" s="606"/>
      <c r="G76" s="566"/>
    </row>
    <row r="77" spans="1:10" ht="14.4" thickTop="1" thickBot="1">
      <c r="A77" s="3097"/>
      <c r="B77" s="597"/>
      <c r="C77" s="3071"/>
      <c r="D77" s="618" t="s">
        <v>708</v>
      </c>
      <c r="E77" s="638"/>
      <c r="F77" s="629"/>
      <c r="G77" s="567"/>
    </row>
    <row r="78" spans="1:10" ht="14.25" customHeight="1" thickTop="1">
      <c r="A78" s="3097"/>
      <c r="B78" s="597"/>
      <c r="C78" s="3071"/>
      <c r="D78" s="585" t="s">
        <v>709</v>
      </c>
      <c r="E78" s="639">
        <f>E62+E68+E69</f>
        <v>1413.2161306866924</v>
      </c>
      <c r="F78" s="823"/>
      <c r="G78" s="566"/>
    </row>
    <row r="79" spans="1:10" ht="13.5" customHeight="1">
      <c r="A79" s="3097"/>
      <c r="B79" s="597"/>
      <c r="C79" s="3071"/>
      <c r="D79" s="640" t="s">
        <v>710</v>
      </c>
      <c r="E79" s="641">
        <f>E78/11.63</f>
        <v>121.51471459042926</v>
      </c>
      <c r="F79" s="807"/>
      <c r="G79" s="566"/>
    </row>
    <row r="80" spans="1:10" ht="13.5" customHeight="1">
      <c r="A80" s="3097"/>
      <c r="B80" s="597"/>
      <c r="C80" s="3071"/>
      <c r="D80" s="600" t="s">
        <v>711</v>
      </c>
      <c r="E80" s="642">
        <f>((E41+E42+E53+(E54*E52)+E73)*0.18)+IF(E44=Gaz_nat,E47*0.206,IF(E44=Fuel,E47*0.271,IF(E44=Propane,E47*0.23,IF(E44=Elec,E47*0.18,0))))+IF(E55=Gaz_nat,(E57/E58)*0.206,IF(E55=Fuel,(E57/E58)*0.271,IF(E55=Propane,(E57/E58)*0.23,IF(E55=Elec,(E57/E58)*0.18,0))))</f>
        <v>142.19765815258052</v>
      </c>
      <c r="F80" s="811">
        <f>F73*0.18+F57+F42</f>
        <v>499.64363636363629</v>
      </c>
      <c r="I80" s="590"/>
    </row>
    <row r="81" spans="1:20" ht="13.5" customHeight="1">
      <c r="A81" s="3097"/>
      <c r="B81" s="597"/>
      <c r="C81" s="3071"/>
      <c r="D81" s="643" t="s">
        <v>712</v>
      </c>
      <c r="E81" s="3100">
        <f>F80-E80</f>
        <v>357.44597821105577</v>
      </c>
      <c r="F81" s="3101"/>
    </row>
    <row r="82" spans="1:20" ht="13.5" customHeight="1" thickBot="1">
      <c r="A82" s="644"/>
      <c r="B82" s="597"/>
      <c r="C82" s="645"/>
      <c r="D82" s="646" t="s">
        <v>713</v>
      </c>
      <c r="E82" s="647">
        <f>E73+E61+E41+E42+IF(E44="Electrique",E47,0)</f>
        <v>521.18386931330747</v>
      </c>
      <c r="F82" s="814">
        <f>F73+F61</f>
        <v>152.72727272727272</v>
      </c>
    </row>
    <row r="83" spans="1:20" ht="13.5" customHeight="1" thickTop="1" thickBot="1">
      <c r="C83" s="593"/>
      <c r="D83" s="557"/>
      <c r="F83" s="555"/>
    </row>
    <row r="84" spans="1:20" ht="14.4" thickTop="1" thickBot="1">
      <c r="A84" s="3102" t="s">
        <v>714</v>
      </c>
      <c r="C84" s="3070" t="s">
        <v>715</v>
      </c>
      <c r="D84" s="648" t="s">
        <v>716</v>
      </c>
      <c r="E84" s="649">
        <f>SUM(E85:E92)</f>
        <v>654351</v>
      </c>
      <c r="F84" s="824">
        <v>49660</v>
      </c>
    </row>
    <row r="85" spans="1:20" ht="13.5" customHeight="1" thickTop="1" thickBot="1">
      <c r="A85" s="3103"/>
      <c r="C85" s="3071"/>
      <c r="D85" s="650" t="s">
        <v>717</v>
      </c>
      <c r="E85" s="651">
        <v>262781</v>
      </c>
      <c r="F85" s="825"/>
      <c r="G85" s="566"/>
    </row>
    <row r="86" spans="1:20" ht="13.5" customHeight="1">
      <c r="A86" s="3103"/>
      <c r="C86" s="3071"/>
      <c r="D86" s="652" t="s">
        <v>718</v>
      </c>
      <c r="E86" s="653">
        <v>136412</v>
      </c>
      <c r="F86" s="826">
        <f>IF(F65&gt;=F38,0,IF(AND(Référence=F170,F45&lt;150),0.57*F45^2+76*F45+2500,IF(AND(Référence=F170,AND(F45&gt;=150,F45&lt;950)),56.1*F45+18300,IF(AND(Référence=F170,F45&gt;=950),34.3*F45+39000,IF(AND(Référence=F171,F45&lt;150),-0.09*F45^2+150*F45+3200,IF(AND(Référence=F171,AND(F45&gt;=150,F45&lt;950)),60*F45+13600,IF(AND(Référence=F171,F45&gt;=950),36.8*F45+35000,)))))))</f>
        <v>49659.9</v>
      </c>
      <c r="G86" s="566"/>
      <c r="J86" s="654"/>
      <c r="K86" s="655"/>
      <c r="L86" s="655"/>
      <c r="M86" s="655"/>
      <c r="N86" s="655"/>
      <c r="O86" s="656"/>
    </row>
    <row r="87" spans="1:20" ht="12.75" customHeight="1">
      <c r="A87" s="3103"/>
      <c r="C87" s="3071"/>
      <c r="D87" s="652" t="s">
        <v>719</v>
      </c>
      <c r="E87" s="653">
        <v>15020</v>
      </c>
      <c r="F87" s="825"/>
      <c r="G87" s="566"/>
      <c r="I87" s="579"/>
      <c r="J87" s="657"/>
      <c r="K87" s="3083" t="s">
        <v>720</v>
      </c>
      <c r="L87" s="3083"/>
      <c r="M87" s="3083"/>
      <c r="N87" s="658"/>
      <c r="O87" s="659"/>
    </row>
    <row r="88" spans="1:20" ht="14.25" customHeight="1">
      <c r="A88" s="3103"/>
      <c r="C88" s="3071"/>
      <c r="D88" s="652" t="s">
        <v>721</v>
      </c>
      <c r="E88" s="653"/>
      <c r="F88" s="826">
        <f>F67*220</f>
        <v>0</v>
      </c>
      <c r="G88" s="567"/>
      <c r="I88" s="579"/>
      <c r="J88" s="657"/>
      <c r="K88" s="3083"/>
      <c r="L88" s="3083"/>
      <c r="M88" s="3083"/>
      <c r="N88" s="658"/>
      <c r="O88" s="659"/>
    </row>
    <row r="89" spans="1:20" ht="14.25" customHeight="1">
      <c r="A89" s="3103"/>
      <c r="C89" s="3071"/>
      <c r="D89" s="660" t="s">
        <v>722</v>
      </c>
      <c r="E89" s="653">
        <v>61193</v>
      </c>
      <c r="F89" s="825"/>
      <c r="I89" s="579"/>
      <c r="J89" s="657"/>
      <c r="K89" s="658"/>
      <c r="L89" s="658"/>
      <c r="M89" s="658"/>
      <c r="N89" s="658"/>
      <c r="O89" s="659"/>
    </row>
    <row r="90" spans="1:20">
      <c r="A90" s="3103"/>
      <c r="C90" s="3071"/>
      <c r="D90" s="660" t="s">
        <v>723</v>
      </c>
      <c r="E90" s="653">
        <v>51355</v>
      </c>
      <c r="F90" s="825"/>
      <c r="G90" s="567" t="str">
        <f>IF(E90&gt;100,"","Non Eligible")</f>
        <v/>
      </c>
      <c r="I90" s="579"/>
      <c r="J90" s="657"/>
      <c r="K90" s="658"/>
      <c r="L90" s="658"/>
      <c r="M90" s="658"/>
      <c r="N90" s="658"/>
      <c r="O90" s="659"/>
    </row>
    <row r="91" spans="1:20">
      <c r="A91" s="3103"/>
      <c r="C91" s="3071"/>
      <c r="D91" s="660" t="s">
        <v>724</v>
      </c>
      <c r="E91" s="661">
        <v>77590</v>
      </c>
      <c r="F91" s="825"/>
      <c r="G91" s="567" t="str">
        <f>IF(E91&lt;10%*E84,"OK","Coûts d'ingénierie et de MOE élevés")</f>
        <v>Coûts d'ingénierie et de MOE élevés</v>
      </c>
      <c r="I91" s="579"/>
      <c r="J91" s="657"/>
      <c r="K91" s="658"/>
      <c r="L91" s="658"/>
      <c r="M91" s="658"/>
      <c r="N91" s="658"/>
      <c r="O91" s="659"/>
    </row>
    <row r="92" spans="1:20" ht="13.8" thickBot="1">
      <c r="A92" s="3103"/>
      <c r="C92" s="3071"/>
      <c r="D92" s="660" t="s">
        <v>725</v>
      </c>
      <c r="E92" s="653">
        <v>50000</v>
      </c>
      <c r="F92" s="825"/>
      <c r="G92" s="567"/>
      <c r="I92" s="579"/>
      <c r="J92" s="657"/>
      <c r="K92" s="658"/>
      <c r="L92" s="658"/>
      <c r="M92" s="658"/>
      <c r="N92" s="658"/>
      <c r="O92" s="659"/>
    </row>
    <row r="93" spans="1:20" ht="18" thickBot="1">
      <c r="A93" s="3104"/>
      <c r="C93" s="3072"/>
      <c r="D93" s="646" t="s">
        <v>726</v>
      </c>
      <c r="E93" s="3084">
        <f>E84-F84</f>
        <v>604691</v>
      </c>
      <c r="F93" s="3085"/>
      <c r="G93" s="566"/>
      <c r="J93" s="657"/>
      <c r="K93" s="3086" t="s">
        <v>727</v>
      </c>
      <c r="L93" s="3087"/>
      <c r="M93" s="3088"/>
      <c r="N93" s="658"/>
      <c r="O93" s="659"/>
    </row>
    <row r="94" spans="1:20" ht="14.4" thickTop="1" thickBot="1">
      <c r="C94" s="662"/>
      <c r="D94" s="663"/>
      <c r="E94" s="664"/>
      <c r="F94" s="664"/>
      <c r="G94" s="566"/>
      <c r="J94" s="657"/>
      <c r="K94" s="665" t="s">
        <v>728</v>
      </c>
      <c r="L94" s="666">
        <f>IF(AND(E44=F170,E47&lt;=250),'[4]Hypothèses coûts'!$C$7,IF(AND(E44=F170,E47&lt;=2500),'[4]Hypothèses coûts'!$D$7,IF(AND(E44=F170,E47&lt;=25000),'[4]Hypothèses coûts'!$E$7,IF(AND(E44=F170,E47&lt;=250000),'[4]Hypothèses coûts'!$F$7,IF(AND(E44=F170,E47&gt;250000),'[4]Hypothèses coûts'!$G$7,IF(E44=F171,'[4]Hypothèses coûts'!C8,IF(E44=F172,'[4]Hypothèses coûts'!C10,)))))))</f>
        <v>62.441780952380959</v>
      </c>
      <c r="M94" s="667">
        <f>IF(AND(F44=F170,F47&lt;=250),'[4]Hypothèses coûts'!$C$7,IF(AND(F44=F170,F47&lt;=2500),'[4]Hypothèses coûts'!$D$7,IF(AND(F44=F170,F47&lt;=25000),'[4]Hypothèses coûts'!$E$7,IF(AND(F44=F170,F47&lt;=250000),'[4]Hypothèses coûts'!$F$7,IF(AND(F44=F170,F47&gt;250000),'[4]Hypothèses coûts'!$G$7,IF(F44=F171,'[4]Hypothèses coûts'!D8,IF(F44=F172,'[4]Hypothèses coûts'!D10,)))))))</f>
        <v>54.451780952380965</v>
      </c>
      <c r="N94" s="668"/>
      <c r="O94" s="669"/>
    </row>
    <row r="95" spans="1:20" ht="13.8" thickTop="1">
      <c r="A95" s="3089" t="s">
        <v>729</v>
      </c>
      <c r="C95" s="3059" t="s">
        <v>730</v>
      </c>
      <c r="D95" s="859" t="s">
        <v>728</v>
      </c>
      <c r="E95" s="860">
        <f>IF(AND(E44=F170,E47&lt;=250),'[4]Hypothèses coûts'!$C$6,IF(AND(E44=F170,E47&lt;=2500),'[4]Hypothèses coûts'!$D$6,IF(AND(E44=F170,E47&lt;=25000),'[4]Hypothèses coûts'!$E$6,IF(AND(E44=F170,E47&lt;=250000),'[4]Hypothèses coûts'!$F$6,IF(AND(E44=F170,E47&gt;250000),'[4]Hypothèses coûts'!$G$6,IF(E44=F171,'[4]Hypothèses coûts'!C8,IF(E44=F172,'[4]Hypothèses coûts'!C10,)))))))</f>
        <v>54.602164047455155</v>
      </c>
      <c r="F95" s="827">
        <f>IF(AND(F44=F170,F47&lt;=250),'[4]Hypothèses coûts'!$C$6,IF(AND(F44=F170,F47&lt;=2500),'[4]Hypothèses coûts'!$D$6,IF(AND(F44=F170,F47&lt;=25000),'[4]Hypothèses coûts'!$E$6,IF(AND(F44=F170,F47&lt;=250000),'[4]Hypothèses coûts'!$F$6,IF(AND(F44=F170,F47&gt;250000),'[4]Hypothèses coûts'!$G$6,IF(F44=F171,'[4]Hypothèses coûts'!C8,IF(F44=F172,'[4]Hypothèses coûts'!C10,)))))))</f>
        <v>45.072952510419256</v>
      </c>
      <c r="G95" s="566"/>
      <c r="J95" s="657"/>
      <c r="K95" s="670" t="s">
        <v>731</v>
      </c>
      <c r="L95" s="671">
        <f>IF(E82&lt;=20,'[4]Hypothèses coûts'!$C$13,IF(E82&lt;=500,'[4]Hypothèses coûts'!$C$14,IF(E82&lt;=2000,'[4]Hypothèses coûts'!$C$15,IF(E82&lt;=20000,'[4]Hypothèses coûts'!$C$16,IF(E82&lt;=70000,'[4]Hypothèses coûts'!$C$17,'[4]Hypothèses coûts'!$C$18)))))</f>
        <v>102.42</v>
      </c>
      <c r="M95" s="672">
        <f>IF(F82&lt;=20,'[4]Hypothèses coûts'!$C$13,IF(F82&lt;=500,'[4]Hypothèses coûts'!$C$14,IF(F82&lt;=2000,'[4]Hypothèses coûts'!$C$15,IF(F82&lt;=20000,'[4]Hypothèses coûts'!$C$16,IF(F82&lt;=70000,'[4]Hypothèses coûts'!$C$17,'[4]Hypothèses coûts'!$C$18)))))</f>
        <v>131.06</v>
      </c>
      <c r="N95" s="3092"/>
      <c r="O95" s="3093"/>
      <c r="P95" s="673"/>
      <c r="Q95" s="673"/>
      <c r="R95" s="673"/>
      <c r="S95" s="673"/>
    </row>
    <row r="96" spans="1:20" ht="14.4">
      <c r="A96" s="3090"/>
      <c r="C96" s="3060"/>
      <c r="D96" s="785" t="s">
        <v>731</v>
      </c>
      <c r="E96" s="861">
        <f>IF(E82&lt;=20,'[4]Hypothèses coûts'!$C$13,IF(E82&lt;=500,'[4]Hypothèses coûts'!$C$14,IF(E82&lt;=2000,'[4]Hypothèses coûts'!$C$15,IF(E82&lt;=20000,'[4]Hypothèses coûts'!$C$16,IF(E82&lt;=70000,'[4]Hypothèses coûts'!$C$17,'[4]Hypothèses coûts'!$C$18)))))</f>
        <v>102.42</v>
      </c>
      <c r="F96" s="828">
        <f>IF(F82&lt;=20,'[4]Hypothèses coûts'!$C$13,IF(F82&lt;=500,'[4]Hypothèses coûts'!$C$14,IF(F82&lt;=2000,'[4]Hypothèses coûts'!$C$15,IF(F82&lt;=20000,'[4]Hypothèses coûts'!$C$16,IF(F82&lt;=70000,'[4]Hypothèses coûts'!$C$17,'[4]Hypothèses coûts'!$C$18)))))</f>
        <v>131.06</v>
      </c>
      <c r="G96" s="674"/>
      <c r="J96" s="657"/>
      <c r="K96" s="675" t="s">
        <v>732</v>
      </c>
      <c r="L96" s="676">
        <f>IF(OR(E44=F170,E44=F171,E44=F172),E47,0)*L94+(IF(OR(E55=F170,E55=F171,E55=F172),E57/E58,0))*L94+(E41+E73)*L95</f>
        <v>53503.973227185612</v>
      </c>
      <c r="M96" s="677">
        <f>IF(OR(Référence=F170,Référence=F171,Référence=F172),F48*M94,0)+IF(F55=C173,F61*M95,F61*M94)+F73*M95</f>
        <v>132070.31961904763</v>
      </c>
      <c r="N96" s="3092"/>
      <c r="O96" s="3093"/>
      <c r="P96" s="678"/>
      <c r="Q96" s="678"/>
      <c r="R96" s="678"/>
      <c r="S96" s="3075"/>
      <c r="T96" s="3075"/>
    </row>
    <row r="97" spans="1:20" ht="14.4">
      <c r="A97" s="3090"/>
      <c r="C97" s="3060"/>
      <c r="D97" s="862" t="s">
        <v>732</v>
      </c>
      <c r="E97" s="863">
        <f>IF(OR(E44=F170,E44=F171,E44=F172),E47,0)*E95+(IF(OR(E55=F170,E55=F171,E55=F172),E57/E58,0))*E95+(E41+E71)*E96</f>
        <v>51659.35748485013</v>
      </c>
      <c r="F97" s="829">
        <f>IF(OR(Référence=F170,Référence=F171,Référence=F172),F48*F95,0)+IF(F55=C173,F61*F96,F61*F95)+F73*F96</f>
        <v>109322.39754345323</v>
      </c>
      <c r="G97" s="566"/>
      <c r="J97" s="657"/>
      <c r="K97" s="675" t="s">
        <v>733</v>
      </c>
      <c r="L97" s="676">
        <f>(E42+E54+E71)*L95</f>
        <v>5686.4312634899961</v>
      </c>
      <c r="M97" s="679"/>
      <c r="N97" s="680"/>
      <c r="O97" s="681"/>
      <c r="P97" s="678"/>
      <c r="Q97" s="678"/>
      <c r="R97" s="678"/>
      <c r="S97" s="3075"/>
      <c r="T97" s="3075"/>
    </row>
    <row r="98" spans="1:20" ht="14.4">
      <c r="A98" s="3090"/>
      <c r="C98" s="3060"/>
      <c r="D98" s="862" t="s">
        <v>733</v>
      </c>
      <c r="E98" s="863">
        <f>(E42+E54+E72)*E96</f>
        <v>5686.4312634899961</v>
      </c>
      <c r="F98" s="830"/>
      <c r="G98" s="567" t="str">
        <f>IF(E98/E27&lt;13.3,"OK","Attention trop haut")</f>
        <v>OK</v>
      </c>
      <c r="H98" s="567"/>
      <c r="I98" s="566"/>
      <c r="J98" s="657"/>
      <c r="K98" s="675" t="s">
        <v>734</v>
      </c>
      <c r="L98" s="676">
        <f>I99*(1+'[4]Hypothèses coûts'!D48)</f>
        <v>2788.3370869399218</v>
      </c>
      <c r="M98" s="3076">
        <f>(IF(AND(Référence=F170,F45&lt;95),0.18*F45^2-7.6*F45+300,IF(AND(Référence=F170,AND(F45&gt;=95,F45&lt;950)),6.6*F45+530,IF(AND(Référence=F170,F45&gt;=950),F45+5800,IF(AND(Référence=F171,F45&lt;95),0.18*F45^2-9.4*F45+390,IF(AND(Référence=F171,AND(F45&gt;=95,F45&lt;950)),6*F45+530,IF(AND(Référence=F171,F45&gt;=950),F45+5300,))))))*(1+'[4]Hypothèses coûts'!D48))</f>
        <v>4883.2065349413951</v>
      </c>
      <c r="N98" s="658"/>
      <c r="O98" s="659"/>
      <c r="P98" s="678"/>
      <c r="Q98" s="678"/>
      <c r="R98" s="678"/>
    </row>
    <row r="99" spans="1:20" ht="14.4">
      <c r="A99" s="3090"/>
      <c r="C99" s="3060"/>
      <c r="D99" s="862" t="s">
        <v>734</v>
      </c>
      <c r="E99" s="863">
        <f>I99*(1+'[4]Hypothèses coûts'!D48)</f>
        <v>2788.3370869399218</v>
      </c>
      <c r="F99" s="3078">
        <f>(IF(AND(Référence=F170,F45&lt;95),0.18*F45^2-7.6*F45+300,IF(AND(Référence=F170,AND(F45&gt;=95,F45&lt;950)),6.6*F45+530,IF(AND(Référence=F170,F45&gt;=950),F45+5800,IF(AND(Référence=F171,F45&lt;95),0.18*F45^2-9.4*F45+390,IF(AND(Référence=F171,AND(F45&gt;=95,F45&lt;950)),6*F45+530,IF(AND(Référence=F171,F45&gt;=950),F45+5300,))))))*(1+'[4]Hypothèses coûts'!D48))</f>
        <v>4883.2065349413951</v>
      </c>
      <c r="G99" s="567" t="str">
        <f>IF(E99/E27&lt;19.5,"OK","Attention trop haut")</f>
        <v>OK</v>
      </c>
      <c r="I99" s="682">
        <f>IF(E27&lt;75,400,IF( E27&lt;150,500,IF(E27&lt;200,700,IF(E27&lt;500,900,E27*1.2+300))))+(IF(E55=F169,0,IF(AND((E51-E57)&gt;0,E55=F173),E27,IF(AND(E57&gt;(E51-E57),E27&gt;300,OR(E44=F169,E44=F173)),400,1200))))+(IF(OR(E44=F170,E44=F171,E44=F172),E45/2+600,0))+(IF(E65=0,0,IF(E65&lt;50,500,IF(E65&gt;5*E38,E65*0.4+300,E65*0.2+700))))</f>
        <v>2409.3000000000002</v>
      </c>
      <c r="J99" s="657"/>
      <c r="K99" s="675" t="s">
        <v>735</v>
      </c>
      <c r="L99" s="676">
        <f>I100*(1+'[4]Hypothèses coûts'!D48)</f>
        <v>17299.656653624683</v>
      </c>
      <c r="M99" s="3077"/>
      <c r="N99" s="658"/>
      <c r="O99" s="659"/>
    </row>
    <row r="100" spans="1:20" ht="14.4">
      <c r="A100" s="3090"/>
      <c r="C100" s="3060"/>
      <c r="D100" s="862" t="s">
        <v>735</v>
      </c>
      <c r="E100" s="863">
        <f>I100*(1+'[4]Hypothèses coûts'!D48)</f>
        <v>17299.656653624683</v>
      </c>
      <c r="F100" s="3078"/>
      <c r="G100" s="567" t="str">
        <f>IF(E100/E84&lt;4.38%,"OK","Attention trop haut")</f>
        <v>OK</v>
      </c>
      <c r="I100" s="682">
        <f>5%*(E86+E88+E89+E90+E92)</f>
        <v>14948</v>
      </c>
      <c r="J100" s="657"/>
      <c r="K100" s="670" t="s">
        <v>736</v>
      </c>
      <c r="L100" s="683">
        <f>SUM(L96:L99)</f>
        <v>79278.398231240222</v>
      </c>
      <c r="M100" s="677">
        <f>SUM(M96:M99)</f>
        <v>136953.52615398902</v>
      </c>
      <c r="N100" s="658"/>
      <c r="O100" s="659"/>
    </row>
    <row r="101" spans="1:20" ht="13.8" thickBot="1">
      <c r="A101" s="3090"/>
      <c r="C101" s="3060"/>
      <c r="D101" s="785" t="s">
        <v>736</v>
      </c>
      <c r="E101" s="864">
        <f>SUM(E97:E100)</f>
        <v>77433.782488904733</v>
      </c>
      <c r="F101" s="829">
        <f>SUM(F97:F100)</f>
        <v>114205.60407839462</v>
      </c>
      <c r="G101" s="566"/>
      <c r="J101" s="657"/>
      <c r="K101" s="684" t="s">
        <v>737</v>
      </c>
      <c r="L101" s="3079">
        <f>IF(M100-L100&lt;=0,0,M100-L100)</f>
        <v>57675.127922748798</v>
      </c>
      <c r="M101" s="3080"/>
      <c r="N101" s="658"/>
      <c r="O101" s="659"/>
    </row>
    <row r="102" spans="1:20" ht="13.8" thickBot="1">
      <c r="A102" s="3091"/>
      <c r="C102" s="3061"/>
      <c r="D102" s="865" t="s">
        <v>737</v>
      </c>
      <c r="E102" s="3081">
        <f>IF(F101-E101&lt;=0,0,F101-E101)</f>
        <v>36771.821589489889</v>
      </c>
      <c r="F102" s="3082"/>
      <c r="G102" s="674" t="str">
        <f>IF(E102=0,"Attention viabilité du projet","OK")</f>
        <v>OK</v>
      </c>
      <c r="I102" s="566"/>
      <c r="J102" s="657"/>
      <c r="K102" s="658"/>
      <c r="L102" s="658"/>
      <c r="M102" s="658"/>
      <c r="N102" s="658"/>
      <c r="O102" s="659"/>
    </row>
    <row r="103" spans="1:20" ht="13.5" customHeight="1" thickTop="1" thickBot="1">
      <c r="D103" s="557"/>
      <c r="F103" s="555"/>
      <c r="J103" s="657"/>
      <c r="K103" s="685" t="s">
        <v>738</v>
      </c>
      <c r="L103" s="686">
        <f>E104</f>
        <v>20</v>
      </c>
      <c r="M103" s="687">
        <f>F104</f>
        <v>20</v>
      </c>
      <c r="N103" s="658"/>
      <c r="O103" s="659"/>
    </row>
    <row r="104" spans="1:20" ht="13.8" thickTop="1">
      <c r="C104" s="3059" t="s">
        <v>739</v>
      </c>
      <c r="D104" s="849" t="s">
        <v>738</v>
      </c>
      <c r="E104" s="850">
        <f>IF(Projet=Industrie,'[4]Hypothèses coûts'!$D$21,'[4]Hypothèses coûts'!$C$21)</f>
        <v>20</v>
      </c>
      <c r="F104" s="831">
        <f>IF(Projet=Industrie,'[4]Hypothèses coûts'!$D$21,'[4]Hypothèses coûts'!$C$21)</f>
        <v>20</v>
      </c>
      <c r="J104" s="657"/>
      <c r="K104" s="688" t="s">
        <v>740</v>
      </c>
      <c r="L104" s="689">
        <f>E105</f>
        <v>2.53E-2</v>
      </c>
      <c r="M104" s="690">
        <f>F105</f>
        <v>2.53E-2</v>
      </c>
      <c r="N104" s="658"/>
      <c r="O104" s="659"/>
    </row>
    <row r="105" spans="1:20" ht="14.4">
      <c r="C105" s="3060"/>
      <c r="D105" s="851" t="s">
        <v>740</v>
      </c>
      <c r="E105" s="852">
        <f>'[4]Hypothèses coûts'!$C$20</f>
        <v>2.53E-2</v>
      </c>
      <c r="F105" s="832">
        <f>'[4]Hypothèses coûts'!C20</f>
        <v>2.53E-2</v>
      </c>
      <c r="J105" s="657"/>
      <c r="K105" s="691" t="s">
        <v>741</v>
      </c>
      <c r="L105" s="692">
        <f>PMT(L104,L103,-E84)</f>
        <v>42093.77970215246</v>
      </c>
      <c r="M105" s="693">
        <f>PMT(M104,M103,-F84)</f>
        <v>3194.580737263168</v>
      </c>
      <c r="N105" s="658"/>
      <c r="O105" s="659"/>
    </row>
    <row r="106" spans="1:20" ht="14.4">
      <c r="C106" s="3060"/>
      <c r="D106" s="853" t="s">
        <v>741</v>
      </c>
      <c r="E106" s="854">
        <f>PMT(E105,E104,-E84)</f>
        <v>42093.77970215246</v>
      </c>
      <c r="F106" s="833">
        <f>PMT(F105,F104,-F84)</f>
        <v>3194.580737263168</v>
      </c>
      <c r="J106" s="657"/>
      <c r="K106" s="694" t="s">
        <v>742</v>
      </c>
      <c r="L106" s="695">
        <f>(L105+L100)/(E38+E51+E65)</f>
        <v>56.864776018268685</v>
      </c>
      <c r="M106" s="696">
        <f>(M105+M100)/(F38+F51+F65)</f>
        <v>65.661594308120399</v>
      </c>
      <c r="N106" s="658"/>
      <c r="O106" s="659"/>
    </row>
    <row r="107" spans="1:20">
      <c r="C107" s="3060"/>
      <c r="D107" s="855" t="s">
        <v>742</v>
      </c>
      <c r="E107" s="856">
        <f>(E106+E101)/(E38+E51+E65)</f>
        <v>56.000544504805653</v>
      </c>
      <c r="F107" s="834">
        <f>(F106+F101)/(F38+F51+F65)</f>
        <v>55.003834714982098</v>
      </c>
      <c r="J107" s="657"/>
      <c r="K107" s="697" t="s">
        <v>743</v>
      </c>
      <c r="L107" s="698">
        <f>(L100+L105)/E78</f>
        <v>85.883663013680021</v>
      </c>
      <c r="M107" s="699"/>
      <c r="N107" s="658"/>
      <c r="O107" s="659"/>
    </row>
    <row r="108" spans="1:20">
      <c r="C108" s="3060"/>
      <c r="D108" s="857" t="s">
        <v>743</v>
      </c>
      <c r="E108" s="858">
        <f>(E101+E106)/E78</f>
        <v>84.578402125213387</v>
      </c>
      <c r="F108" s="801"/>
      <c r="J108" s="657"/>
      <c r="K108" s="700" t="s">
        <v>744</v>
      </c>
      <c r="L108" s="3064">
        <f>L106-M106</f>
        <v>-8.7968182898517142</v>
      </c>
      <c r="M108" s="3065"/>
      <c r="N108" s="658"/>
      <c r="O108" s="659"/>
    </row>
    <row r="109" spans="1:20">
      <c r="C109" s="3060"/>
      <c r="D109" s="857" t="s">
        <v>744</v>
      </c>
      <c r="E109" s="3066">
        <f>E107-F107</f>
        <v>0.99670978982355507</v>
      </c>
      <c r="F109" s="3067"/>
      <c r="J109" s="657"/>
      <c r="K109" s="697"/>
      <c r="L109" s="701"/>
      <c r="M109" s="702"/>
      <c r="N109" s="658"/>
      <c r="O109" s="659"/>
    </row>
    <row r="110" spans="1:20">
      <c r="C110" s="883"/>
      <c r="D110" s="857"/>
      <c r="E110" s="884"/>
      <c r="F110" s="703"/>
      <c r="J110" s="657"/>
      <c r="K110" s="688" t="s">
        <v>745</v>
      </c>
      <c r="L110" s="704">
        <f>E84-F84</f>
        <v>604691</v>
      </c>
      <c r="M110" s="699"/>
      <c r="N110" s="658"/>
      <c r="O110" s="659"/>
    </row>
    <row r="111" spans="1:20">
      <c r="C111" s="3060" t="s">
        <v>746</v>
      </c>
      <c r="D111" s="851" t="s">
        <v>745</v>
      </c>
      <c r="E111" s="854">
        <f>E84-F84</f>
        <v>604691</v>
      </c>
      <c r="F111" s="801"/>
      <c r="J111" s="657"/>
      <c r="K111" s="697" t="s">
        <v>747</v>
      </c>
      <c r="L111" s="705">
        <f>L115/L110</f>
        <v>0.22201737977584074</v>
      </c>
      <c r="M111" s="699"/>
      <c r="N111" s="658"/>
      <c r="O111" s="659"/>
    </row>
    <row r="112" spans="1:20">
      <c r="C112" s="3060"/>
      <c r="D112" s="857" t="s">
        <v>747</v>
      </c>
      <c r="E112" s="879">
        <f>E116/E111</f>
        <v>0.66149487920276639</v>
      </c>
      <c r="F112" s="801"/>
      <c r="J112" s="657"/>
      <c r="K112" s="706" t="s">
        <v>748</v>
      </c>
      <c r="L112" s="707" t="str">
        <f>IF(AND(E62&gt;70,E62&lt;500),E62*10*20+200*E32*E33,"Analyse éco simplifiée")</f>
        <v>Analyse éco simplifiée</v>
      </c>
      <c r="M112" s="699"/>
      <c r="N112" s="658"/>
      <c r="O112" s="659"/>
    </row>
    <row r="113" spans="3:15">
      <c r="C113" s="3060"/>
      <c r="D113" s="885" t="s">
        <v>748</v>
      </c>
      <c r="E113" s="886" t="str">
        <f>IF(AND(E62&gt;50,E62&lt;=1000),E62*20*20+E69*5*20,"Analyse éco simplifiée")</f>
        <v>Analyse éco simplifiée</v>
      </c>
      <c r="F113" s="801"/>
      <c r="J113" s="657"/>
      <c r="K113" s="706" t="s">
        <v>749</v>
      </c>
      <c r="L113" s="692">
        <f>IF(E62&gt;500,110000+200*E33*E32+5*E69*20,"Aide forfaitaire")</f>
        <v>145200</v>
      </c>
      <c r="M113" s="699"/>
      <c r="N113" s="658"/>
      <c r="O113" s="659"/>
    </row>
    <row r="114" spans="3:15">
      <c r="C114" s="3060"/>
      <c r="D114" s="885" t="s">
        <v>750</v>
      </c>
      <c r="E114" s="887">
        <f>IF(E62&gt;1000,400000+5*E69*20,"Aide forfaitaire")</f>
        <v>400000</v>
      </c>
      <c r="F114" s="801"/>
      <c r="G114" s="708" t="s">
        <v>751</v>
      </c>
      <c r="J114" s="657"/>
      <c r="K114" s="706" t="s">
        <v>752</v>
      </c>
      <c r="L114" s="692">
        <f>IF(E62&gt;500,110*20*E62+200*E32*E33+5*E69*20,"Aide forfaitaire")</f>
        <v>3144275.4875107231</v>
      </c>
      <c r="M114" s="699"/>
      <c r="N114" s="658"/>
      <c r="O114" s="659"/>
    </row>
    <row r="115" spans="3:15">
      <c r="C115" s="3060"/>
      <c r="D115" s="885" t="s">
        <v>753</v>
      </c>
      <c r="E115" s="887">
        <f>IF(E62&gt;1000,20*20*E62+5*E69*20,"Aide forfaitaire")</f>
        <v>565286.45227467699</v>
      </c>
      <c r="F115" s="801"/>
      <c r="G115" s="708" t="s">
        <v>751</v>
      </c>
      <c r="J115" s="657"/>
      <c r="K115" s="709" t="s">
        <v>754</v>
      </c>
      <c r="L115" s="710">
        <v>134251.91139403291</v>
      </c>
      <c r="M115" s="589"/>
      <c r="N115" s="658"/>
      <c r="O115" s="659"/>
    </row>
    <row r="116" spans="3:15" ht="14.4">
      <c r="C116" s="3060"/>
      <c r="D116" s="888" t="s">
        <v>755</v>
      </c>
      <c r="E116" s="889">
        <v>400000</v>
      </c>
      <c r="F116" s="801"/>
      <c r="G116" s="567"/>
      <c r="J116" s="657"/>
      <c r="K116" s="688" t="s">
        <v>756</v>
      </c>
      <c r="L116" s="711">
        <f>-PMT(L104,L103,E84-L115)</f>
        <v>33457.481472588646</v>
      </c>
      <c r="M116" s="712">
        <f>M105</f>
        <v>3194.580737263168</v>
      </c>
      <c r="N116" s="658"/>
      <c r="O116" s="659"/>
    </row>
    <row r="117" spans="3:15" ht="14.4">
      <c r="C117" s="3060"/>
      <c r="D117" s="851" t="s">
        <v>756</v>
      </c>
      <c r="E117" s="890">
        <f>-PMT(E105,E104,E84-E116)</f>
        <v>16362.158781788643</v>
      </c>
      <c r="F117" s="835">
        <f>F106</f>
        <v>3194.580737263168</v>
      </c>
      <c r="J117" s="657"/>
      <c r="K117" s="694" t="s">
        <v>757</v>
      </c>
      <c r="L117" s="713">
        <f>(L116+L100)/(E38+E51+E65)</f>
        <v>52.818534343997776</v>
      </c>
      <c r="M117" s="714">
        <f>(M116+M100)/(E38+E51+E65)</f>
        <v>65.661594308120399</v>
      </c>
      <c r="N117" s="658"/>
      <c r="O117" s="659"/>
    </row>
    <row r="118" spans="3:15">
      <c r="C118" s="3060"/>
      <c r="D118" s="855" t="s">
        <v>757</v>
      </c>
      <c r="E118" s="891">
        <f>(E117+E101)/(E38+E51+E65)</f>
        <v>43.944875033120958</v>
      </c>
      <c r="F118" s="836">
        <f>(F117+F101)/(F38+F51+F65)</f>
        <v>55.003834714982098</v>
      </c>
      <c r="J118" s="657"/>
      <c r="K118" s="697" t="s">
        <v>758</v>
      </c>
      <c r="L118" s="698">
        <f>(L100+L116)/E78</f>
        <v>79.772567872579856</v>
      </c>
      <c r="M118" s="699"/>
      <c r="N118" s="658"/>
      <c r="O118" s="659"/>
    </row>
    <row r="119" spans="3:15" ht="13.5" customHeight="1">
      <c r="C119" s="3060"/>
      <c r="D119" s="857" t="s">
        <v>758</v>
      </c>
      <c r="E119" s="858">
        <f>(E101+E117)/E78</f>
        <v>66.370556657258945</v>
      </c>
      <c r="F119" s="801"/>
      <c r="J119" s="657"/>
      <c r="K119" s="697" t="s">
        <v>759</v>
      </c>
      <c r="L119" s="715">
        <f>L106-L117</f>
        <v>4.0462416742709095</v>
      </c>
      <c r="M119" s="699"/>
      <c r="N119" s="658"/>
      <c r="O119" s="659"/>
    </row>
    <row r="120" spans="3:15">
      <c r="C120" s="3060"/>
      <c r="D120" s="857" t="s">
        <v>759</v>
      </c>
      <c r="E120" s="858">
        <f>E107-E118</f>
        <v>12.055669471684695</v>
      </c>
      <c r="F120" s="801"/>
      <c r="J120" s="657"/>
      <c r="K120" s="697"/>
      <c r="L120" s="698"/>
      <c r="M120" s="716"/>
      <c r="N120" s="658"/>
      <c r="O120" s="659"/>
    </row>
    <row r="121" spans="3:15">
      <c r="C121" s="3060"/>
      <c r="D121" s="857"/>
      <c r="E121" s="858"/>
      <c r="F121" s="837"/>
      <c r="J121" s="657"/>
      <c r="K121" s="717" t="s">
        <v>760</v>
      </c>
      <c r="L121" s="718">
        <f>L115/E62</f>
        <v>94.997437744217436</v>
      </c>
      <c r="M121" s="699"/>
      <c r="N121" s="658"/>
      <c r="O121" s="659"/>
    </row>
    <row r="122" spans="3:15">
      <c r="C122" s="3060"/>
      <c r="D122" s="862" t="s">
        <v>761</v>
      </c>
      <c r="E122" s="892">
        <f>E116/E62</f>
        <v>283.04233960706136</v>
      </c>
      <c r="F122" s="801"/>
      <c r="J122" s="657"/>
      <c r="K122" s="697" t="s">
        <v>762</v>
      </c>
      <c r="L122" s="719">
        <f>L115/E84</f>
        <v>0.20516803885687179</v>
      </c>
      <c r="M122" s="699"/>
      <c r="N122" s="658"/>
      <c r="O122" s="659"/>
    </row>
    <row r="123" spans="3:15" ht="12.75" customHeight="1" thickBot="1">
      <c r="C123" s="3060"/>
      <c r="D123" s="862" t="s">
        <v>762</v>
      </c>
      <c r="E123" s="893">
        <f>E116/E84</f>
        <v>0.6112927159888194</v>
      </c>
      <c r="F123" s="801"/>
      <c r="J123" s="657"/>
      <c r="K123" s="720" t="s">
        <v>763</v>
      </c>
      <c r="L123" s="721">
        <f>(L115/E62)/20</f>
        <v>4.7498718872108716</v>
      </c>
      <c r="M123" s="722"/>
      <c r="N123" s="658"/>
      <c r="O123" s="659"/>
    </row>
    <row r="124" spans="3:15" ht="12.75" customHeight="1" thickTop="1" thickBot="1">
      <c r="C124" s="3060"/>
      <c r="D124" s="862" t="s">
        <v>764</v>
      </c>
      <c r="E124" s="894">
        <f>E122/20</f>
        <v>14.152116980353068</v>
      </c>
      <c r="F124" s="838"/>
      <c r="G124" s="723" t="str">
        <f>IF(E127&lt;=20,"OK","Attention à la rentabilité du projet, aide supérieure au forfait")</f>
        <v>OK</v>
      </c>
      <c r="J124" s="657"/>
      <c r="K124" s="724"/>
      <c r="L124" s="725"/>
      <c r="M124" s="724"/>
      <c r="N124" s="658"/>
      <c r="O124" s="659"/>
    </row>
    <row r="125" spans="3:15" ht="12.75" customHeight="1" thickTop="1" thickBot="1">
      <c r="C125" s="3060"/>
      <c r="D125" s="895"/>
      <c r="E125" s="896"/>
      <c r="F125" s="838"/>
      <c r="J125" s="657"/>
      <c r="K125" s="726" t="s">
        <v>765</v>
      </c>
      <c r="L125" s="727">
        <f>L115</f>
        <v>134251.91139403291</v>
      </c>
      <c r="M125" s="728"/>
      <c r="N125" s="658"/>
      <c r="O125" s="659"/>
    </row>
    <row r="126" spans="3:15" ht="12.75" customHeight="1" thickTop="1" thickBot="1">
      <c r="C126" s="3060"/>
      <c r="D126" s="897" t="s">
        <v>766</v>
      </c>
      <c r="E126" s="892">
        <f>E116/E78/20</f>
        <v>14.152116980353068</v>
      </c>
      <c r="F126" s="838"/>
      <c r="J126" s="657"/>
      <c r="K126" s="729" t="s">
        <v>767</v>
      </c>
      <c r="L126" s="730">
        <f>L125-L127</f>
        <v>134251.91139403291</v>
      </c>
      <c r="M126" s="731"/>
      <c r="N126" s="658"/>
      <c r="O126" s="659"/>
    </row>
    <row r="127" spans="3:15" ht="12.75" customHeight="1" thickTop="1" thickBot="1">
      <c r="C127" s="3061"/>
      <c r="D127" s="898"/>
      <c r="E127" s="899"/>
      <c r="F127" s="839"/>
      <c r="J127" s="657"/>
      <c r="K127" s="732" t="s">
        <v>768</v>
      </c>
      <c r="L127" s="733">
        <v>0</v>
      </c>
      <c r="M127" s="731"/>
      <c r="N127" s="658"/>
      <c r="O127" s="659"/>
    </row>
    <row r="128" spans="3:15" ht="14.25" customHeight="1" thickTop="1" thickBot="1">
      <c r="D128" s="555"/>
      <c r="E128" s="734"/>
      <c r="F128" s="555"/>
      <c r="J128" s="657"/>
      <c r="K128" s="735" t="s">
        <v>769</v>
      </c>
      <c r="L128" s="3068">
        <f>IF(E22="Activité non économique",0.65,IF(E22="Petite entreprise",0.65,IF(E22="Moyenne entreprise",0.55,0.45)))</f>
        <v>0.65</v>
      </c>
      <c r="M128" s="3069"/>
      <c r="N128" s="658"/>
      <c r="O128" s="659"/>
    </row>
    <row r="129" spans="1:15" ht="14.4" thickTop="1" thickBot="1">
      <c r="C129" s="3070" t="s">
        <v>770</v>
      </c>
      <c r="D129" s="736" t="s">
        <v>765</v>
      </c>
      <c r="E129" s="737">
        <f>E116</f>
        <v>400000</v>
      </c>
      <c r="F129" s="840"/>
      <c r="J129" s="657"/>
      <c r="K129" s="738" t="s">
        <v>771</v>
      </c>
      <c r="L129" s="3073"/>
      <c r="M129" s="3074"/>
      <c r="N129" s="658"/>
      <c r="O129" s="659"/>
    </row>
    <row r="130" spans="1:15" ht="14.25" customHeight="1" thickTop="1" thickBot="1">
      <c r="C130" s="3071"/>
      <c r="D130" s="739" t="s">
        <v>767</v>
      </c>
      <c r="E130" s="740">
        <f>E129-E131</f>
        <v>400000</v>
      </c>
      <c r="F130" s="841"/>
      <c r="J130" s="657"/>
      <c r="K130" s="741" t="s">
        <v>772</v>
      </c>
      <c r="L130" s="742">
        <f>IF(E22=C168,L115/E84,L115/(E84-F84-L129))</f>
        <v>0.22201737977584074</v>
      </c>
      <c r="M130" s="743"/>
      <c r="N130" s="658"/>
      <c r="O130" s="659"/>
    </row>
    <row r="131" spans="1:15" ht="14.4" thickTop="1" thickBot="1">
      <c r="C131" s="3071"/>
      <c r="D131" s="744" t="s">
        <v>768</v>
      </c>
      <c r="E131" s="745">
        <v>0</v>
      </c>
      <c r="F131" s="841"/>
      <c r="J131" s="657"/>
      <c r="K131" s="746" t="s">
        <v>773</v>
      </c>
      <c r="L131" s="747">
        <f>L117/M117</f>
        <v>0.80440529811298966</v>
      </c>
      <c r="M131" s="731"/>
      <c r="N131" s="658"/>
      <c r="O131" s="659"/>
    </row>
    <row r="132" spans="1:15" ht="14.4" thickTop="1" thickBot="1">
      <c r="C132" s="3071"/>
      <c r="D132" s="748" t="s">
        <v>769</v>
      </c>
      <c r="E132" s="3068">
        <f>IF(E22="Activité non économique",0.65,IF(E22="Petite entreprise",0.65,IF(E22="Moyenne entreprise",0.55,0.45)))</f>
        <v>0.65</v>
      </c>
      <c r="F132" s="3069"/>
      <c r="J132" s="657"/>
      <c r="K132" s="749" t="s">
        <v>774</v>
      </c>
      <c r="L132" s="750">
        <f>(1-L131)</f>
        <v>0.19559470188701034</v>
      </c>
      <c r="M132" s="751"/>
      <c r="N132" s="658"/>
      <c r="O132" s="659"/>
    </row>
    <row r="133" spans="1:15" ht="14.4" thickTop="1" thickBot="1">
      <c r="C133" s="3071"/>
      <c r="D133" s="752" t="s">
        <v>772</v>
      </c>
      <c r="E133" s="753">
        <f>IF(E22=C171,E116/E84,E116/(E84-F84))</f>
        <v>0.6112927159888194</v>
      </c>
      <c r="F133" s="842"/>
      <c r="G133" s="708" t="str">
        <f>IF(E133&gt;E132,"Plafond européen dépassé","OK")</f>
        <v>OK</v>
      </c>
      <c r="J133" s="657"/>
      <c r="K133" s="658"/>
      <c r="L133" s="725"/>
      <c r="M133" s="724"/>
      <c r="N133" s="658"/>
      <c r="O133" s="659"/>
    </row>
    <row r="134" spans="1:15" ht="13.8" thickTop="1">
      <c r="C134" s="3071"/>
      <c r="D134" s="754" t="s">
        <v>773</v>
      </c>
      <c r="E134" s="755">
        <f>E118/F118</f>
        <v>0.79894202396676051</v>
      </c>
      <c r="F134" s="841"/>
      <c r="J134" s="657"/>
      <c r="K134" s="756" t="s">
        <v>775</v>
      </c>
      <c r="L134" s="757">
        <f>'[13]Hypothèses coûts'!C22</f>
        <v>3.8199999999999998E-2</v>
      </c>
      <c r="M134" s="758"/>
      <c r="N134" s="658"/>
      <c r="O134" s="659"/>
    </row>
    <row r="135" spans="1:15" ht="13.8" thickBot="1">
      <c r="C135" s="3072"/>
      <c r="D135" s="759" t="s">
        <v>774</v>
      </c>
      <c r="E135" s="760">
        <f>(1-E134)</f>
        <v>0.20105797603323949</v>
      </c>
      <c r="F135" s="843"/>
      <c r="G135" s="761" t="str">
        <f>IF(E135&lt;0.05,"Attention rentabilité",IF(E135&lt;=0.15,"OK",IF(E135&lt;=0.2,"Attention aide sociale ?",IF(E135&gt;0.2,"Attention trop haut",))))</f>
        <v>Attention trop haut</v>
      </c>
      <c r="J135" s="657"/>
      <c r="K135" s="741" t="s">
        <v>776</v>
      </c>
      <c r="L135" s="762">
        <f>SUM(F145:F165)</f>
        <v>309053.08678914933</v>
      </c>
      <c r="M135" s="699"/>
      <c r="N135" s="658"/>
      <c r="O135" s="659"/>
    </row>
    <row r="136" spans="1:15" ht="14.4" thickTop="1" thickBot="1">
      <c r="E136" s="734"/>
      <c r="F136" s="555"/>
      <c r="G136" s="763"/>
      <c r="J136" s="657"/>
      <c r="K136" s="764" t="s">
        <v>777</v>
      </c>
      <c r="L136" s="705">
        <f>IRR(E145:E165)</f>
        <v>0.17215097631815102</v>
      </c>
      <c r="M136" s="699"/>
      <c r="N136" s="658"/>
      <c r="O136" s="659"/>
    </row>
    <row r="137" spans="1:15" ht="13.8" thickTop="1">
      <c r="A137" s="3056" t="s">
        <v>778</v>
      </c>
      <c r="B137" s="845"/>
      <c r="C137" s="3059" t="s">
        <v>779</v>
      </c>
      <c r="D137" s="874" t="s">
        <v>775</v>
      </c>
      <c r="E137" s="875">
        <f>'[4]Hypothèses coûts'!C22</f>
        <v>3.6900000000000002E-2</v>
      </c>
      <c r="F137" s="844"/>
      <c r="J137" s="657"/>
      <c r="K137" s="764" t="s">
        <v>780</v>
      </c>
      <c r="L137" s="765">
        <f>E93/L101</f>
        <v>10.484432749068802</v>
      </c>
      <c r="M137" s="699"/>
      <c r="N137" s="658"/>
      <c r="O137" s="659"/>
    </row>
    <row r="138" spans="1:15" ht="13.5" customHeight="1" thickBot="1">
      <c r="A138" s="3057"/>
      <c r="B138" s="845"/>
      <c r="C138" s="3060"/>
      <c r="D138" s="876" t="s">
        <v>776</v>
      </c>
      <c r="E138" s="877">
        <f>SUM(F145:F165)</f>
        <v>309053.08678914933</v>
      </c>
      <c r="F138" s="801"/>
      <c r="G138" s="761" t="str">
        <f>IF(E138&gt;0,"OK","Attention rentabilité")</f>
        <v>OK</v>
      </c>
      <c r="J138" s="657"/>
      <c r="K138" s="766" t="s">
        <v>781</v>
      </c>
      <c r="L138" s="767">
        <f>(E93-L115)/L101</f>
        <v>8.1567064616845322</v>
      </c>
      <c r="M138" s="768"/>
      <c r="N138" s="658"/>
      <c r="O138" s="659"/>
    </row>
    <row r="139" spans="1:15" ht="14.4" thickTop="1" thickBot="1">
      <c r="A139" s="3057"/>
      <c r="B139" s="845"/>
      <c r="C139" s="3060"/>
      <c r="D139" s="878" t="s">
        <v>777</v>
      </c>
      <c r="E139" s="879">
        <f>IRR(E145:E165)</f>
        <v>0.17215097631815102</v>
      </c>
      <c r="F139" s="801"/>
      <c r="J139" s="769"/>
      <c r="K139" s="770"/>
      <c r="L139" s="770"/>
      <c r="M139" s="770"/>
      <c r="N139" s="770"/>
      <c r="O139" s="771"/>
    </row>
    <row r="140" spans="1:15">
      <c r="A140" s="3057"/>
      <c r="B140" s="845"/>
      <c r="C140" s="3060"/>
      <c r="D140" s="878" t="s">
        <v>780</v>
      </c>
      <c r="E140" s="880">
        <f>E93/E102</f>
        <v>16.444412429457469</v>
      </c>
      <c r="F140" s="801"/>
      <c r="G140" s="566" t="str">
        <f>IF(E140&lt;=5,"Pas d'aide","")</f>
        <v/>
      </c>
    </row>
    <row r="141" spans="1:15" ht="13.8" thickBot="1">
      <c r="A141" s="3058"/>
      <c r="B141" s="845"/>
      <c r="C141" s="3061"/>
      <c r="D141" s="881" t="s">
        <v>781</v>
      </c>
      <c r="E141" s="882">
        <f>(E93-E116)/E102</f>
        <v>5.5665178158730306</v>
      </c>
      <c r="F141" s="797"/>
      <c r="G141" s="761" t="str">
        <f>IF(E141&lt;=1/(0.05*POWER((1+0.05),20)/((POWER((1+0.05),20)-1))),"OK","Attention rentabilité")</f>
        <v>OK</v>
      </c>
    </row>
    <row r="142" spans="1:15" ht="13.8" thickTop="1">
      <c r="D142" s="555"/>
      <c r="E142" s="734"/>
      <c r="F142" s="555"/>
    </row>
    <row r="143" spans="1:15" ht="13.8" thickBot="1">
      <c r="D143" s="772"/>
      <c r="G143" s="763"/>
    </row>
    <row r="144" spans="1:15" ht="39.75" customHeight="1" thickTop="1" thickBot="1">
      <c r="C144" s="3059" t="s">
        <v>782</v>
      </c>
      <c r="D144" s="866" t="s">
        <v>783</v>
      </c>
      <c r="E144" s="867" t="s">
        <v>784</v>
      </c>
      <c r="F144" s="846" t="s">
        <v>785</v>
      </c>
    </row>
    <row r="145" spans="3:7" ht="13.5" customHeight="1">
      <c r="C145" s="3060"/>
      <c r="D145" s="868">
        <v>0</v>
      </c>
      <c r="E145" s="869">
        <f>-(E84-(E116+F84))</f>
        <v>-204691</v>
      </c>
      <c r="F145" s="847">
        <f t="shared" ref="F145:F165" si="0">E145*POWER(1+$E$137,-D145)</f>
        <v>-204691</v>
      </c>
      <c r="G145" s="773"/>
    </row>
    <row r="146" spans="3:7">
      <c r="C146" s="3060"/>
      <c r="D146" s="870">
        <v>1</v>
      </c>
      <c r="E146" s="871">
        <f>$E$102</f>
        <v>36771.821589489889</v>
      </c>
      <c r="F146" s="847">
        <f>E146*POWER(1+$E$137,-D146)</f>
        <v>35463.228459340236</v>
      </c>
      <c r="G146" s="555"/>
    </row>
    <row r="147" spans="3:7">
      <c r="C147" s="3060"/>
      <c r="D147" s="870">
        <v>2</v>
      </c>
      <c r="E147" s="871">
        <f t="shared" ref="E147:E165" si="1">$E$102</f>
        <v>36771.821589489889</v>
      </c>
      <c r="F147" s="847">
        <f t="shared" si="0"/>
        <v>34201.204030610701</v>
      </c>
      <c r="G147" s="774"/>
    </row>
    <row r="148" spans="3:7">
      <c r="C148" s="3060"/>
      <c r="D148" s="870">
        <v>3</v>
      </c>
      <c r="E148" s="871">
        <f t="shared" si="1"/>
        <v>36771.821589489889</v>
      </c>
      <c r="F148" s="847">
        <f t="shared" si="0"/>
        <v>32984.091070123162</v>
      </c>
      <c r="G148" s="774"/>
    </row>
    <row r="149" spans="3:7">
      <c r="C149" s="3060"/>
      <c r="D149" s="870">
        <v>4</v>
      </c>
      <c r="E149" s="871">
        <f t="shared" si="1"/>
        <v>36771.821589489889</v>
      </c>
      <c r="F149" s="847">
        <f t="shared" si="0"/>
        <v>31810.291320400385</v>
      </c>
      <c r="G149" s="774"/>
    </row>
    <row r="150" spans="3:7">
      <c r="C150" s="3060"/>
      <c r="D150" s="870">
        <v>5</v>
      </c>
      <c r="E150" s="871">
        <f t="shared" si="1"/>
        <v>36771.821589489889</v>
      </c>
      <c r="F150" s="847">
        <f t="shared" si="0"/>
        <v>30678.263400906922</v>
      </c>
      <c r="G150" s="774"/>
    </row>
    <row r="151" spans="3:7">
      <c r="C151" s="3060"/>
      <c r="D151" s="870">
        <v>6</v>
      </c>
      <c r="E151" s="871">
        <f t="shared" si="1"/>
        <v>36771.821589489889</v>
      </c>
      <c r="F151" s="847">
        <f t="shared" si="0"/>
        <v>29586.520783978132</v>
      </c>
      <c r="G151" s="774"/>
    </row>
    <row r="152" spans="3:7">
      <c r="C152" s="3060"/>
      <c r="D152" s="870">
        <v>7</v>
      </c>
      <c r="E152" s="871">
        <f t="shared" si="1"/>
        <v>36771.821589489889</v>
      </c>
      <c r="F152" s="847">
        <f t="shared" si="0"/>
        <v>28533.62984277957</v>
      </c>
    </row>
    <row r="153" spans="3:7">
      <c r="C153" s="3060"/>
      <c r="D153" s="870">
        <v>8</v>
      </c>
      <c r="E153" s="871">
        <f t="shared" si="1"/>
        <v>36771.821589489889</v>
      </c>
      <c r="F153" s="847">
        <f t="shared" si="0"/>
        <v>27518.207968733306</v>
      </c>
    </row>
    <row r="154" spans="3:7">
      <c r="C154" s="3060"/>
      <c r="D154" s="870">
        <v>9</v>
      </c>
      <c r="E154" s="871">
        <f t="shared" si="1"/>
        <v>36771.821589489889</v>
      </c>
      <c r="F154" s="847">
        <f t="shared" si="0"/>
        <v>26538.921755939155</v>
      </c>
    </row>
    <row r="155" spans="3:7">
      <c r="C155" s="3060"/>
      <c r="D155" s="870">
        <v>10</v>
      </c>
      <c r="E155" s="871">
        <f t="shared" si="1"/>
        <v>36771.821589489889</v>
      </c>
      <c r="F155" s="847">
        <f t="shared" si="0"/>
        <v>25594.485250206537</v>
      </c>
    </row>
    <row r="156" spans="3:7">
      <c r="C156" s="3060"/>
      <c r="D156" s="870">
        <v>11</v>
      </c>
      <c r="E156" s="871">
        <f t="shared" si="1"/>
        <v>36771.821589489889</v>
      </c>
      <c r="F156" s="847">
        <f t="shared" si="0"/>
        <v>24683.658260397853</v>
      </c>
    </row>
    <row r="157" spans="3:7">
      <c r="C157" s="3060"/>
      <c r="D157" s="870">
        <v>12</v>
      </c>
      <c r="E157" s="871">
        <f t="shared" si="1"/>
        <v>36771.821589489889</v>
      </c>
      <c r="F157" s="847">
        <f t="shared" si="0"/>
        <v>23805.244729865804</v>
      </c>
    </row>
    <row r="158" spans="3:7">
      <c r="C158" s="3060"/>
      <c r="D158" s="870">
        <v>13</v>
      </c>
      <c r="E158" s="871">
        <f t="shared" si="1"/>
        <v>36771.821589489889</v>
      </c>
      <c r="F158" s="847">
        <f t="shared" si="0"/>
        <v>22958.09116584609</v>
      </c>
    </row>
    <row r="159" spans="3:7">
      <c r="C159" s="3060"/>
      <c r="D159" s="870">
        <v>14</v>
      </c>
      <c r="E159" s="871">
        <f t="shared" si="1"/>
        <v>36771.821589489889</v>
      </c>
      <c r="F159" s="847">
        <f t="shared" si="0"/>
        <v>22141.085124743069</v>
      </c>
    </row>
    <row r="160" spans="3:7">
      <c r="C160" s="3060"/>
      <c r="D160" s="870">
        <v>15</v>
      </c>
      <c r="E160" s="871">
        <f t="shared" si="1"/>
        <v>36771.821589489889</v>
      </c>
      <c r="F160" s="847">
        <f t="shared" si="0"/>
        <v>21353.153751319387</v>
      </c>
    </row>
    <row r="161" spans="3:6">
      <c r="C161" s="3060"/>
      <c r="D161" s="870">
        <v>16</v>
      </c>
      <c r="E161" s="871">
        <f t="shared" si="1"/>
        <v>36771.821589489889</v>
      </c>
      <c r="F161" s="847">
        <f t="shared" si="0"/>
        <v>20593.26236987114</v>
      </c>
    </row>
    <row r="162" spans="3:6">
      <c r="C162" s="3060"/>
      <c r="D162" s="870">
        <v>17</v>
      </c>
      <c r="E162" s="871">
        <f t="shared" si="1"/>
        <v>36771.821589489889</v>
      </c>
      <c r="F162" s="847">
        <f t="shared" si="0"/>
        <v>19860.413125538762</v>
      </c>
    </row>
    <row r="163" spans="3:6">
      <c r="C163" s="3060"/>
      <c r="D163" s="870">
        <v>18</v>
      </c>
      <c r="E163" s="871">
        <f t="shared" si="1"/>
        <v>36771.821589489889</v>
      </c>
      <c r="F163" s="847">
        <f t="shared" si="0"/>
        <v>19153.643673969298</v>
      </c>
    </row>
    <row r="164" spans="3:6">
      <c r="C164" s="3060"/>
      <c r="D164" s="870">
        <v>19</v>
      </c>
      <c r="E164" s="871">
        <f t="shared" si="1"/>
        <v>36771.821589489889</v>
      </c>
      <c r="F164" s="847">
        <f t="shared" si="0"/>
        <v>18472.025917609506</v>
      </c>
    </row>
    <row r="165" spans="3:6" ht="13.8" thickBot="1">
      <c r="C165" s="3061"/>
      <c r="D165" s="872">
        <v>20</v>
      </c>
      <c r="E165" s="873">
        <f t="shared" si="1"/>
        <v>36771.821589489889</v>
      </c>
      <c r="F165" s="848">
        <f t="shared" si="0"/>
        <v>17814.664786970305</v>
      </c>
    </row>
    <row r="166" spans="3:6" ht="13.8" thickTop="1">
      <c r="D166" s="555"/>
      <c r="E166" s="555"/>
    </row>
    <row r="167" spans="3:6">
      <c r="D167" s="555"/>
      <c r="E167" s="555"/>
    </row>
    <row r="168" spans="3:6">
      <c r="C168" s="775" t="s">
        <v>786</v>
      </c>
      <c r="F168" s="113" t="s">
        <v>787</v>
      </c>
    </row>
    <row r="169" spans="3:6">
      <c r="C169" s="776" t="s">
        <v>788</v>
      </c>
      <c r="F169" s="113" t="s">
        <v>789</v>
      </c>
    </row>
    <row r="170" spans="3:6">
      <c r="C170" s="776" t="s">
        <v>790</v>
      </c>
      <c r="F170" s="113" t="s">
        <v>147</v>
      </c>
    </row>
    <row r="171" spans="3:6">
      <c r="C171" s="777" t="s">
        <v>654</v>
      </c>
      <c r="F171" s="113" t="s">
        <v>791</v>
      </c>
    </row>
    <row r="172" spans="3:6">
      <c r="D172" s="555"/>
      <c r="E172" s="555"/>
      <c r="F172" s="113" t="s">
        <v>792</v>
      </c>
    </row>
    <row r="173" spans="3:6">
      <c r="C173" s="775" t="s">
        <v>793</v>
      </c>
      <c r="F173" s="113" t="s">
        <v>688</v>
      </c>
    </row>
    <row r="174" spans="3:6">
      <c r="C174" s="777" t="s">
        <v>689</v>
      </c>
    </row>
    <row r="175" spans="3:6">
      <c r="F175" s="775" t="s">
        <v>794</v>
      </c>
    </row>
    <row r="176" spans="3:6">
      <c r="F176" s="776" t="s">
        <v>795</v>
      </c>
    </row>
    <row r="177" spans="3:6">
      <c r="F177" s="776" t="s">
        <v>796</v>
      </c>
    </row>
    <row r="178" spans="3:6">
      <c r="F178" s="776" t="s">
        <v>797</v>
      </c>
    </row>
    <row r="179" spans="3:6">
      <c r="F179" s="776" t="s">
        <v>798</v>
      </c>
    </row>
    <row r="180" spans="3:6">
      <c r="F180" s="776" t="s">
        <v>799</v>
      </c>
    </row>
    <row r="181" spans="3:6">
      <c r="F181" s="776" t="s">
        <v>657</v>
      </c>
    </row>
    <row r="182" spans="3:6">
      <c r="F182" s="776" t="s">
        <v>800</v>
      </c>
    </row>
    <row r="183" spans="3:6">
      <c r="F183" s="776" t="s">
        <v>801</v>
      </c>
    </row>
    <row r="184" spans="3:6">
      <c r="F184" s="777" t="s">
        <v>279</v>
      </c>
    </row>
    <row r="188" spans="3:6" ht="13.8" thickBot="1"/>
    <row r="189" spans="3:6" ht="13.8" thickBot="1">
      <c r="C189" s="3062" t="s">
        <v>802</v>
      </c>
      <c r="D189" s="3063"/>
    </row>
    <row r="190" spans="3:6">
      <c r="C190" s="778" t="s">
        <v>803</v>
      </c>
      <c r="D190" s="779">
        <v>6</v>
      </c>
    </row>
    <row r="191" spans="3:6">
      <c r="C191" s="780" t="s">
        <v>804</v>
      </c>
      <c r="D191" s="781">
        <v>5</v>
      </c>
    </row>
    <row r="192" spans="3:6">
      <c r="C192" s="780" t="s">
        <v>805</v>
      </c>
      <c r="D192" s="781">
        <v>2000</v>
      </c>
    </row>
    <row r="193" spans="3:4">
      <c r="C193" s="780" t="s">
        <v>806</v>
      </c>
      <c r="D193" s="781">
        <v>0.7</v>
      </c>
    </row>
    <row r="194" spans="3:4">
      <c r="C194" s="780" t="s">
        <v>807</v>
      </c>
      <c r="D194" s="781">
        <v>0.65</v>
      </c>
    </row>
    <row r="195" spans="3:4">
      <c r="C195" s="780" t="s">
        <v>808</v>
      </c>
      <c r="D195" s="781">
        <v>1.1625000000000001</v>
      </c>
    </row>
    <row r="196" spans="3:4" ht="13.8" thickBot="1">
      <c r="C196" s="782" t="s">
        <v>809</v>
      </c>
      <c r="D196" s="783">
        <v>1.1100000000000001</v>
      </c>
    </row>
  </sheetData>
  <mergeCells count="45">
    <mergeCell ref="C9:C13"/>
    <mergeCell ref="C1:G1"/>
    <mergeCell ref="C2:G2"/>
    <mergeCell ref="D4:G4"/>
    <mergeCell ref="C6:C7"/>
    <mergeCell ref="D6:D7"/>
    <mergeCell ref="D15:G15"/>
    <mergeCell ref="A18:A35"/>
    <mergeCell ref="C18:C24"/>
    <mergeCell ref="E18:F18"/>
    <mergeCell ref="E19:F19"/>
    <mergeCell ref="E21:F21"/>
    <mergeCell ref="C26:C29"/>
    <mergeCell ref="N95:O95"/>
    <mergeCell ref="N96:O96"/>
    <mergeCell ref="C31:C35"/>
    <mergeCell ref="A37:A81"/>
    <mergeCell ref="C38:C81"/>
    <mergeCell ref="G75:I75"/>
    <mergeCell ref="E81:F81"/>
    <mergeCell ref="A84:A93"/>
    <mergeCell ref="C84:C93"/>
    <mergeCell ref="E102:F102"/>
    <mergeCell ref="K87:M88"/>
    <mergeCell ref="E93:F93"/>
    <mergeCell ref="K93:M93"/>
    <mergeCell ref="A95:A102"/>
    <mergeCell ref="C95:C102"/>
    <mergeCell ref="S96:T96"/>
    <mergeCell ref="S97:T97"/>
    <mergeCell ref="M98:M99"/>
    <mergeCell ref="F99:F100"/>
    <mergeCell ref="L101:M101"/>
    <mergeCell ref="L108:M108"/>
    <mergeCell ref="E109:F109"/>
    <mergeCell ref="C111:C127"/>
    <mergeCell ref="L128:M128"/>
    <mergeCell ref="C129:C135"/>
    <mergeCell ref="L129:M129"/>
    <mergeCell ref="E132:F132"/>
    <mergeCell ref="A137:A141"/>
    <mergeCell ref="C137:C141"/>
    <mergeCell ref="C144:C165"/>
    <mergeCell ref="C189:D189"/>
    <mergeCell ref="C104:C109"/>
  </mergeCells>
  <conditionalFormatting sqref="E133">
    <cfRule type="cellIs" dxfId="15" priority="5" stopIfTrue="1" operator="greaterThan">
      <formula>0.6</formula>
    </cfRule>
  </conditionalFormatting>
  <conditionalFormatting sqref="E134">
    <cfRule type="cellIs" dxfId="14" priority="4" stopIfTrue="1" operator="greaterThan">
      <formula>0.95</formula>
    </cfRule>
  </conditionalFormatting>
  <conditionalFormatting sqref="E139">
    <cfRule type="cellIs" dxfId="13" priority="6" stopIfTrue="1" operator="greaterThan">
      <formula>0.1</formula>
    </cfRule>
  </conditionalFormatting>
  <conditionalFormatting sqref="F55">
    <cfRule type="cellIs" dxfId="12" priority="8" stopIfTrue="1" operator="equal">
      <formula>"Ballons d'ESC électrique"</formula>
    </cfRule>
    <cfRule type="cellIs" dxfId="11" priority="9" stopIfTrue="1" operator="equal">
      <formula>"Couplé à la solution de référence "</formula>
    </cfRule>
  </conditionalFormatting>
  <conditionalFormatting sqref="G44">
    <cfRule type="cellIs" dxfId="10" priority="15" stopIfTrue="1" operator="equal">
      <formula>"Vérifier l'appoint"</formula>
    </cfRule>
  </conditionalFormatting>
  <conditionalFormatting sqref="G45">
    <cfRule type="cellIs" dxfId="9" priority="10" stopIfTrue="1" operator="equal">
      <formula>"Complétez C44 ou C45"</formula>
    </cfRule>
  </conditionalFormatting>
  <conditionalFormatting sqref="G56">
    <cfRule type="cellIs" dxfId="8" priority="11" stopIfTrue="1" operator="equal">
      <formula>"Type de référence ?"</formula>
    </cfRule>
  </conditionalFormatting>
  <conditionalFormatting sqref="G58">
    <cfRule type="cellIs" dxfId="7" priority="12" stopIfTrue="1" operator="equal">
      <formula>"Pas d'ECS par la PAC"</formula>
    </cfRule>
    <cfRule type="cellIs" dxfId="6" priority="13" stopIfTrue="1" operator="equal">
      <formula>"Quelle énergie ?"</formula>
    </cfRule>
    <cfRule type="cellIs" dxfId="5" priority="14" stopIfTrue="1" operator="equal">
      <formula>"Combien de MWh/an ?"</formula>
    </cfRule>
  </conditionalFormatting>
  <conditionalFormatting sqref="G86">
    <cfRule type="cellIs" dxfId="4" priority="7" stopIfTrue="1" operator="equal">
      <formula>"Vérifier votre montant"</formula>
    </cfRule>
  </conditionalFormatting>
  <conditionalFormatting sqref="G140">
    <cfRule type="cellIs" dxfId="3" priority="16" stopIfTrue="1" operator="equal">
      <formula>"Pas d'aide"</formula>
    </cfRule>
  </conditionalFormatting>
  <conditionalFormatting sqref="L130">
    <cfRule type="cellIs" dxfId="2" priority="2" stopIfTrue="1" operator="greaterThan">
      <formula>0.6</formula>
    </cfRule>
  </conditionalFormatting>
  <conditionalFormatting sqref="L131">
    <cfRule type="cellIs" dxfId="1" priority="1" stopIfTrue="1" operator="greaterThan">
      <formula>0.95</formula>
    </cfRule>
  </conditionalFormatting>
  <conditionalFormatting sqref="L136">
    <cfRule type="cellIs" dxfId="0" priority="3" stopIfTrue="1" operator="greaterThan">
      <formula>0.1</formula>
    </cfRule>
  </conditionalFormatting>
  <dataValidations count="16">
    <dataValidation type="list" errorStyle="information" allowBlank="1" showErrorMessage="1" error="Merci de remonter ce cas pour l'évolution de la page._x000a_" prompt="Tertiaire, complexe de bureaux, centre commercial _x000a_Hospitalier, _x000a_Logements collectifs, _x000a_Administration, _x000a_Industrie,_x000a_Agricole,_x000a_Autre" sqref="E24:F24 JA24:JB24 SW24:SX24 ACS24:ACT24 AMO24:AMP24 AWK24:AWL24 BGG24:BGH24 BQC24:BQD24 BZY24:BZZ24 CJU24:CJV24 CTQ24:CTR24 DDM24:DDN24 DNI24:DNJ24 DXE24:DXF24 EHA24:EHB24 EQW24:EQX24 FAS24:FAT24 FKO24:FKP24 FUK24:FUL24 GEG24:GEH24 GOC24:GOD24 GXY24:GXZ24 HHU24:HHV24 HRQ24:HRR24 IBM24:IBN24 ILI24:ILJ24 IVE24:IVF24 JFA24:JFB24 JOW24:JOX24 JYS24:JYT24 KIO24:KIP24 KSK24:KSL24 LCG24:LCH24 LMC24:LMD24 LVY24:LVZ24 MFU24:MFV24 MPQ24:MPR24 MZM24:MZN24 NJI24:NJJ24 NTE24:NTF24 ODA24:ODB24 OMW24:OMX24 OWS24:OWT24 PGO24:PGP24 PQK24:PQL24 QAG24:QAH24 QKC24:QKD24 QTY24:QTZ24 RDU24:RDV24 RNQ24:RNR24 RXM24:RXN24 SHI24:SHJ24 SRE24:SRF24 TBA24:TBB24 TKW24:TKX24 TUS24:TUT24 UEO24:UEP24 UOK24:UOL24 UYG24:UYH24 VIC24:VID24 VRY24:VRZ24 WBU24:WBV24 WLQ24:WLR24 WVM24:WVN24 E65560:F65560 JA65560:JB65560 SW65560:SX65560 ACS65560:ACT65560 AMO65560:AMP65560 AWK65560:AWL65560 BGG65560:BGH65560 BQC65560:BQD65560 BZY65560:BZZ65560 CJU65560:CJV65560 CTQ65560:CTR65560 DDM65560:DDN65560 DNI65560:DNJ65560 DXE65560:DXF65560 EHA65560:EHB65560 EQW65560:EQX65560 FAS65560:FAT65560 FKO65560:FKP65560 FUK65560:FUL65560 GEG65560:GEH65560 GOC65560:GOD65560 GXY65560:GXZ65560 HHU65560:HHV65560 HRQ65560:HRR65560 IBM65560:IBN65560 ILI65560:ILJ65560 IVE65560:IVF65560 JFA65560:JFB65560 JOW65560:JOX65560 JYS65560:JYT65560 KIO65560:KIP65560 KSK65560:KSL65560 LCG65560:LCH65560 LMC65560:LMD65560 LVY65560:LVZ65560 MFU65560:MFV65560 MPQ65560:MPR65560 MZM65560:MZN65560 NJI65560:NJJ65560 NTE65560:NTF65560 ODA65560:ODB65560 OMW65560:OMX65560 OWS65560:OWT65560 PGO65560:PGP65560 PQK65560:PQL65560 QAG65560:QAH65560 QKC65560:QKD65560 QTY65560:QTZ65560 RDU65560:RDV65560 RNQ65560:RNR65560 RXM65560:RXN65560 SHI65560:SHJ65560 SRE65560:SRF65560 TBA65560:TBB65560 TKW65560:TKX65560 TUS65560:TUT65560 UEO65560:UEP65560 UOK65560:UOL65560 UYG65560:UYH65560 VIC65560:VID65560 VRY65560:VRZ65560 WBU65560:WBV65560 WLQ65560:WLR65560 WVM65560:WVN65560 E131096:F131096 JA131096:JB131096 SW131096:SX131096 ACS131096:ACT131096 AMO131096:AMP131096 AWK131096:AWL131096 BGG131096:BGH131096 BQC131096:BQD131096 BZY131096:BZZ131096 CJU131096:CJV131096 CTQ131096:CTR131096 DDM131096:DDN131096 DNI131096:DNJ131096 DXE131096:DXF131096 EHA131096:EHB131096 EQW131096:EQX131096 FAS131096:FAT131096 FKO131096:FKP131096 FUK131096:FUL131096 GEG131096:GEH131096 GOC131096:GOD131096 GXY131096:GXZ131096 HHU131096:HHV131096 HRQ131096:HRR131096 IBM131096:IBN131096 ILI131096:ILJ131096 IVE131096:IVF131096 JFA131096:JFB131096 JOW131096:JOX131096 JYS131096:JYT131096 KIO131096:KIP131096 KSK131096:KSL131096 LCG131096:LCH131096 LMC131096:LMD131096 LVY131096:LVZ131096 MFU131096:MFV131096 MPQ131096:MPR131096 MZM131096:MZN131096 NJI131096:NJJ131096 NTE131096:NTF131096 ODA131096:ODB131096 OMW131096:OMX131096 OWS131096:OWT131096 PGO131096:PGP131096 PQK131096:PQL131096 QAG131096:QAH131096 QKC131096:QKD131096 QTY131096:QTZ131096 RDU131096:RDV131096 RNQ131096:RNR131096 RXM131096:RXN131096 SHI131096:SHJ131096 SRE131096:SRF131096 TBA131096:TBB131096 TKW131096:TKX131096 TUS131096:TUT131096 UEO131096:UEP131096 UOK131096:UOL131096 UYG131096:UYH131096 VIC131096:VID131096 VRY131096:VRZ131096 WBU131096:WBV131096 WLQ131096:WLR131096 WVM131096:WVN131096 E196632:F196632 JA196632:JB196632 SW196632:SX196632 ACS196632:ACT196632 AMO196632:AMP196632 AWK196632:AWL196632 BGG196632:BGH196632 BQC196632:BQD196632 BZY196632:BZZ196632 CJU196632:CJV196632 CTQ196632:CTR196632 DDM196632:DDN196632 DNI196632:DNJ196632 DXE196632:DXF196632 EHA196632:EHB196632 EQW196632:EQX196632 FAS196632:FAT196632 FKO196632:FKP196632 FUK196632:FUL196632 GEG196632:GEH196632 GOC196632:GOD196632 GXY196632:GXZ196632 HHU196632:HHV196632 HRQ196632:HRR196632 IBM196632:IBN196632 ILI196632:ILJ196632 IVE196632:IVF196632 JFA196632:JFB196632 JOW196632:JOX196632 JYS196632:JYT196632 KIO196632:KIP196632 KSK196632:KSL196632 LCG196632:LCH196632 LMC196632:LMD196632 LVY196632:LVZ196632 MFU196632:MFV196632 MPQ196632:MPR196632 MZM196632:MZN196632 NJI196632:NJJ196632 NTE196632:NTF196632 ODA196632:ODB196632 OMW196632:OMX196632 OWS196632:OWT196632 PGO196632:PGP196632 PQK196632:PQL196632 QAG196632:QAH196632 QKC196632:QKD196632 QTY196632:QTZ196632 RDU196632:RDV196632 RNQ196632:RNR196632 RXM196632:RXN196632 SHI196632:SHJ196632 SRE196632:SRF196632 TBA196632:TBB196632 TKW196632:TKX196632 TUS196632:TUT196632 UEO196632:UEP196632 UOK196632:UOL196632 UYG196632:UYH196632 VIC196632:VID196632 VRY196632:VRZ196632 WBU196632:WBV196632 WLQ196632:WLR196632 WVM196632:WVN196632 E262168:F262168 JA262168:JB262168 SW262168:SX262168 ACS262168:ACT262168 AMO262168:AMP262168 AWK262168:AWL262168 BGG262168:BGH262168 BQC262168:BQD262168 BZY262168:BZZ262168 CJU262168:CJV262168 CTQ262168:CTR262168 DDM262168:DDN262168 DNI262168:DNJ262168 DXE262168:DXF262168 EHA262168:EHB262168 EQW262168:EQX262168 FAS262168:FAT262168 FKO262168:FKP262168 FUK262168:FUL262168 GEG262168:GEH262168 GOC262168:GOD262168 GXY262168:GXZ262168 HHU262168:HHV262168 HRQ262168:HRR262168 IBM262168:IBN262168 ILI262168:ILJ262168 IVE262168:IVF262168 JFA262168:JFB262168 JOW262168:JOX262168 JYS262168:JYT262168 KIO262168:KIP262168 KSK262168:KSL262168 LCG262168:LCH262168 LMC262168:LMD262168 LVY262168:LVZ262168 MFU262168:MFV262168 MPQ262168:MPR262168 MZM262168:MZN262168 NJI262168:NJJ262168 NTE262168:NTF262168 ODA262168:ODB262168 OMW262168:OMX262168 OWS262168:OWT262168 PGO262168:PGP262168 PQK262168:PQL262168 QAG262168:QAH262168 QKC262168:QKD262168 QTY262168:QTZ262168 RDU262168:RDV262168 RNQ262168:RNR262168 RXM262168:RXN262168 SHI262168:SHJ262168 SRE262168:SRF262168 TBA262168:TBB262168 TKW262168:TKX262168 TUS262168:TUT262168 UEO262168:UEP262168 UOK262168:UOL262168 UYG262168:UYH262168 VIC262168:VID262168 VRY262168:VRZ262168 WBU262168:WBV262168 WLQ262168:WLR262168 WVM262168:WVN262168 E327704:F327704 JA327704:JB327704 SW327704:SX327704 ACS327704:ACT327704 AMO327704:AMP327704 AWK327704:AWL327704 BGG327704:BGH327704 BQC327704:BQD327704 BZY327704:BZZ327704 CJU327704:CJV327704 CTQ327704:CTR327704 DDM327704:DDN327704 DNI327704:DNJ327704 DXE327704:DXF327704 EHA327704:EHB327704 EQW327704:EQX327704 FAS327704:FAT327704 FKO327704:FKP327704 FUK327704:FUL327704 GEG327704:GEH327704 GOC327704:GOD327704 GXY327704:GXZ327704 HHU327704:HHV327704 HRQ327704:HRR327704 IBM327704:IBN327704 ILI327704:ILJ327704 IVE327704:IVF327704 JFA327704:JFB327704 JOW327704:JOX327704 JYS327704:JYT327704 KIO327704:KIP327704 KSK327704:KSL327704 LCG327704:LCH327704 LMC327704:LMD327704 LVY327704:LVZ327704 MFU327704:MFV327704 MPQ327704:MPR327704 MZM327704:MZN327704 NJI327704:NJJ327704 NTE327704:NTF327704 ODA327704:ODB327704 OMW327704:OMX327704 OWS327704:OWT327704 PGO327704:PGP327704 PQK327704:PQL327704 QAG327704:QAH327704 QKC327704:QKD327704 QTY327704:QTZ327704 RDU327704:RDV327704 RNQ327704:RNR327704 RXM327704:RXN327704 SHI327704:SHJ327704 SRE327704:SRF327704 TBA327704:TBB327704 TKW327704:TKX327704 TUS327704:TUT327704 UEO327704:UEP327704 UOK327704:UOL327704 UYG327704:UYH327704 VIC327704:VID327704 VRY327704:VRZ327704 WBU327704:WBV327704 WLQ327704:WLR327704 WVM327704:WVN327704 E393240:F393240 JA393240:JB393240 SW393240:SX393240 ACS393240:ACT393240 AMO393240:AMP393240 AWK393240:AWL393240 BGG393240:BGH393240 BQC393240:BQD393240 BZY393240:BZZ393240 CJU393240:CJV393240 CTQ393240:CTR393240 DDM393240:DDN393240 DNI393240:DNJ393240 DXE393240:DXF393240 EHA393240:EHB393240 EQW393240:EQX393240 FAS393240:FAT393240 FKO393240:FKP393240 FUK393240:FUL393240 GEG393240:GEH393240 GOC393240:GOD393240 GXY393240:GXZ393240 HHU393240:HHV393240 HRQ393240:HRR393240 IBM393240:IBN393240 ILI393240:ILJ393240 IVE393240:IVF393240 JFA393240:JFB393240 JOW393240:JOX393240 JYS393240:JYT393240 KIO393240:KIP393240 KSK393240:KSL393240 LCG393240:LCH393240 LMC393240:LMD393240 LVY393240:LVZ393240 MFU393240:MFV393240 MPQ393240:MPR393240 MZM393240:MZN393240 NJI393240:NJJ393240 NTE393240:NTF393240 ODA393240:ODB393240 OMW393240:OMX393240 OWS393240:OWT393240 PGO393240:PGP393240 PQK393240:PQL393240 QAG393240:QAH393240 QKC393240:QKD393240 QTY393240:QTZ393240 RDU393240:RDV393240 RNQ393240:RNR393240 RXM393240:RXN393240 SHI393240:SHJ393240 SRE393240:SRF393240 TBA393240:TBB393240 TKW393240:TKX393240 TUS393240:TUT393240 UEO393240:UEP393240 UOK393240:UOL393240 UYG393240:UYH393240 VIC393240:VID393240 VRY393240:VRZ393240 WBU393240:WBV393240 WLQ393240:WLR393240 WVM393240:WVN393240 E458776:F458776 JA458776:JB458776 SW458776:SX458776 ACS458776:ACT458776 AMO458776:AMP458776 AWK458776:AWL458776 BGG458776:BGH458776 BQC458776:BQD458776 BZY458776:BZZ458776 CJU458776:CJV458776 CTQ458776:CTR458776 DDM458776:DDN458776 DNI458776:DNJ458776 DXE458776:DXF458776 EHA458776:EHB458776 EQW458776:EQX458776 FAS458776:FAT458776 FKO458776:FKP458776 FUK458776:FUL458776 GEG458776:GEH458776 GOC458776:GOD458776 GXY458776:GXZ458776 HHU458776:HHV458776 HRQ458776:HRR458776 IBM458776:IBN458776 ILI458776:ILJ458776 IVE458776:IVF458776 JFA458776:JFB458776 JOW458776:JOX458776 JYS458776:JYT458776 KIO458776:KIP458776 KSK458776:KSL458776 LCG458776:LCH458776 LMC458776:LMD458776 LVY458776:LVZ458776 MFU458776:MFV458776 MPQ458776:MPR458776 MZM458776:MZN458776 NJI458776:NJJ458776 NTE458776:NTF458776 ODA458776:ODB458776 OMW458776:OMX458776 OWS458776:OWT458776 PGO458776:PGP458776 PQK458776:PQL458776 QAG458776:QAH458776 QKC458776:QKD458776 QTY458776:QTZ458776 RDU458776:RDV458776 RNQ458776:RNR458776 RXM458776:RXN458776 SHI458776:SHJ458776 SRE458776:SRF458776 TBA458776:TBB458776 TKW458776:TKX458776 TUS458776:TUT458776 UEO458776:UEP458776 UOK458776:UOL458776 UYG458776:UYH458776 VIC458776:VID458776 VRY458776:VRZ458776 WBU458776:WBV458776 WLQ458776:WLR458776 WVM458776:WVN458776 E524312:F524312 JA524312:JB524312 SW524312:SX524312 ACS524312:ACT524312 AMO524312:AMP524312 AWK524312:AWL524312 BGG524312:BGH524312 BQC524312:BQD524312 BZY524312:BZZ524312 CJU524312:CJV524312 CTQ524312:CTR524312 DDM524312:DDN524312 DNI524312:DNJ524312 DXE524312:DXF524312 EHA524312:EHB524312 EQW524312:EQX524312 FAS524312:FAT524312 FKO524312:FKP524312 FUK524312:FUL524312 GEG524312:GEH524312 GOC524312:GOD524312 GXY524312:GXZ524312 HHU524312:HHV524312 HRQ524312:HRR524312 IBM524312:IBN524312 ILI524312:ILJ524312 IVE524312:IVF524312 JFA524312:JFB524312 JOW524312:JOX524312 JYS524312:JYT524312 KIO524312:KIP524312 KSK524312:KSL524312 LCG524312:LCH524312 LMC524312:LMD524312 LVY524312:LVZ524312 MFU524312:MFV524312 MPQ524312:MPR524312 MZM524312:MZN524312 NJI524312:NJJ524312 NTE524312:NTF524312 ODA524312:ODB524312 OMW524312:OMX524312 OWS524312:OWT524312 PGO524312:PGP524312 PQK524312:PQL524312 QAG524312:QAH524312 QKC524312:QKD524312 QTY524312:QTZ524312 RDU524312:RDV524312 RNQ524312:RNR524312 RXM524312:RXN524312 SHI524312:SHJ524312 SRE524312:SRF524312 TBA524312:TBB524312 TKW524312:TKX524312 TUS524312:TUT524312 UEO524312:UEP524312 UOK524312:UOL524312 UYG524312:UYH524312 VIC524312:VID524312 VRY524312:VRZ524312 WBU524312:WBV524312 WLQ524312:WLR524312 WVM524312:WVN524312 E589848:F589848 JA589848:JB589848 SW589848:SX589848 ACS589848:ACT589848 AMO589848:AMP589848 AWK589848:AWL589848 BGG589848:BGH589848 BQC589848:BQD589848 BZY589848:BZZ589848 CJU589848:CJV589848 CTQ589848:CTR589848 DDM589848:DDN589848 DNI589848:DNJ589848 DXE589848:DXF589848 EHA589848:EHB589848 EQW589848:EQX589848 FAS589848:FAT589848 FKO589848:FKP589848 FUK589848:FUL589848 GEG589848:GEH589848 GOC589848:GOD589848 GXY589848:GXZ589848 HHU589848:HHV589848 HRQ589848:HRR589848 IBM589848:IBN589848 ILI589848:ILJ589848 IVE589848:IVF589848 JFA589848:JFB589848 JOW589848:JOX589848 JYS589848:JYT589848 KIO589848:KIP589848 KSK589848:KSL589848 LCG589848:LCH589848 LMC589848:LMD589848 LVY589848:LVZ589848 MFU589848:MFV589848 MPQ589848:MPR589848 MZM589848:MZN589848 NJI589848:NJJ589848 NTE589848:NTF589848 ODA589848:ODB589848 OMW589848:OMX589848 OWS589848:OWT589848 PGO589848:PGP589848 PQK589848:PQL589848 QAG589848:QAH589848 QKC589848:QKD589848 QTY589848:QTZ589848 RDU589848:RDV589848 RNQ589848:RNR589848 RXM589848:RXN589848 SHI589848:SHJ589848 SRE589848:SRF589848 TBA589848:TBB589848 TKW589848:TKX589848 TUS589848:TUT589848 UEO589848:UEP589848 UOK589848:UOL589848 UYG589848:UYH589848 VIC589848:VID589848 VRY589848:VRZ589848 WBU589848:WBV589848 WLQ589848:WLR589848 WVM589848:WVN589848 E655384:F655384 JA655384:JB655384 SW655384:SX655384 ACS655384:ACT655384 AMO655384:AMP655384 AWK655384:AWL655384 BGG655384:BGH655384 BQC655384:BQD655384 BZY655384:BZZ655384 CJU655384:CJV655384 CTQ655384:CTR655384 DDM655384:DDN655384 DNI655384:DNJ655384 DXE655384:DXF655384 EHA655384:EHB655384 EQW655384:EQX655384 FAS655384:FAT655384 FKO655384:FKP655384 FUK655384:FUL655384 GEG655384:GEH655384 GOC655384:GOD655384 GXY655384:GXZ655384 HHU655384:HHV655384 HRQ655384:HRR655384 IBM655384:IBN655384 ILI655384:ILJ655384 IVE655384:IVF655384 JFA655384:JFB655384 JOW655384:JOX655384 JYS655384:JYT655384 KIO655384:KIP655384 KSK655384:KSL655384 LCG655384:LCH655384 LMC655384:LMD655384 LVY655384:LVZ655384 MFU655384:MFV655384 MPQ655384:MPR655384 MZM655384:MZN655384 NJI655384:NJJ655384 NTE655384:NTF655384 ODA655384:ODB655384 OMW655384:OMX655384 OWS655384:OWT655384 PGO655384:PGP655384 PQK655384:PQL655384 QAG655384:QAH655384 QKC655384:QKD655384 QTY655384:QTZ655384 RDU655384:RDV655384 RNQ655384:RNR655384 RXM655384:RXN655384 SHI655384:SHJ655384 SRE655384:SRF655384 TBA655384:TBB655384 TKW655384:TKX655384 TUS655384:TUT655384 UEO655384:UEP655384 UOK655384:UOL655384 UYG655384:UYH655384 VIC655384:VID655384 VRY655384:VRZ655384 WBU655384:WBV655384 WLQ655384:WLR655384 WVM655384:WVN655384 E720920:F720920 JA720920:JB720920 SW720920:SX720920 ACS720920:ACT720920 AMO720920:AMP720920 AWK720920:AWL720920 BGG720920:BGH720920 BQC720920:BQD720920 BZY720920:BZZ720920 CJU720920:CJV720920 CTQ720920:CTR720920 DDM720920:DDN720920 DNI720920:DNJ720920 DXE720920:DXF720920 EHA720920:EHB720920 EQW720920:EQX720920 FAS720920:FAT720920 FKO720920:FKP720920 FUK720920:FUL720920 GEG720920:GEH720920 GOC720920:GOD720920 GXY720920:GXZ720920 HHU720920:HHV720920 HRQ720920:HRR720920 IBM720920:IBN720920 ILI720920:ILJ720920 IVE720920:IVF720920 JFA720920:JFB720920 JOW720920:JOX720920 JYS720920:JYT720920 KIO720920:KIP720920 KSK720920:KSL720920 LCG720920:LCH720920 LMC720920:LMD720920 LVY720920:LVZ720920 MFU720920:MFV720920 MPQ720920:MPR720920 MZM720920:MZN720920 NJI720920:NJJ720920 NTE720920:NTF720920 ODA720920:ODB720920 OMW720920:OMX720920 OWS720920:OWT720920 PGO720920:PGP720920 PQK720920:PQL720920 QAG720920:QAH720920 QKC720920:QKD720920 QTY720920:QTZ720920 RDU720920:RDV720920 RNQ720920:RNR720920 RXM720920:RXN720920 SHI720920:SHJ720920 SRE720920:SRF720920 TBA720920:TBB720920 TKW720920:TKX720920 TUS720920:TUT720920 UEO720920:UEP720920 UOK720920:UOL720920 UYG720920:UYH720920 VIC720920:VID720920 VRY720920:VRZ720920 WBU720920:WBV720920 WLQ720920:WLR720920 WVM720920:WVN720920 E786456:F786456 JA786456:JB786456 SW786456:SX786456 ACS786456:ACT786456 AMO786456:AMP786456 AWK786456:AWL786456 BGG786456:BGH786456 BQC786456:BQD786456 BZY786456:BZZ786456 CJU786456:CJV786456 CTQ786456:CTR786456 DDM786456:DDN786456 DNI786456:DNJ786456 DXE786456:DXF786456 EHA786456:EHB786456 EQW786456:EQX786456 FAS786456:FAT786456 FKO786456:FKP786456 FUK786456:FUL786456 GEG786456:GEH786456 GOC786456:GOD786456 GXY786456:GXZ786456 HHU786456:HHV786456 HRQ786456:HRR786456 IBM786456:IBN786456 ILI786456:ILJ786456 IVE786456:IVF786456 JFA786456:JFB786456 JOW786456:JOX786456 JYS786456:JYT786456 KIO786456:KIP786456 KSK786456:KSL786456 LCG786456:LCH786456 LMC786456:LMD786456 LVY786456:LVZ786456 MFU786456:MFV786456 MPQ786456:MPR786456 MZM786456:MZN786456 NJI786456:NJJ786456 NTE786456:NTF786456 ODA786456:ODB786456 OMW786456:OMX786456 OWS786456:OWT786456 PGO786456:PGP786456 PQK786456:PQL786456 QAG786456:QAH786456 QKC786456:QKD786456 QTY786456:QTZ786456 RDU786456:RDV786456 RNQ786456:RNR786456 RXM786456:RXN786456 SHI786456:SHJ786456 SRE786456:SRF786456 TBA786456:TBB786456 TKW786456:TKX786456 TUS786456:TUT786456 UEO786456:UEP786456 UOK786456:UOL786456 UYG786456:UYH786456 VIC786456:VID786456 VRY786456:VRZ786456 WBU786456:WBV786456 WLQ786456:WLR786456 WVM786456:WVN786456 E851992:F851992 JA851992:JB851992 SW851992:SX851992 ACS851992:ACT851992 AMO851992:AMP851992 AWK851992:AWL851992 BGG851992:BGH851992 BQC851992:BQD851992 BZY851992:BZZ851992 CJU851992:CJV851992 CTQ851992:CTR851992 DDM851992:DDN851992 DNI851992:DNJ851992 DXE851992:DXF851992 EHA851992:EHB851992 EQW851992:EQX851992 FAS851992:FAT851992 FKO851992:FKP851992 FUK851992:FUL851992 GEG851992:GEH851992 GOC851992:GOD851992 GXY851992:GXZ851992 HHU851992:HHV851992 HRQ851992:HRR851992 IBM851992:IBN851992 ILI851992:ILJ851992 IVE851992:IVF851992 JFA851992:JFB851992 JOW851992:JOX851992 JYS851992:JYT851992 KIO851992:KIP851992 KSK851992:KSL851992 LCG851992:LCH851992 LMC851992:LMD851992 LVY851992:LVZ851992 MFU851992:MFV851992 MPQ851992:MPR851992 MZM851992:MZN851992 NJI851992:NJJ851992 NTE851992:NTF851992 ODA851992:ODB851992 OMW851992:OMX851992 OWS851992:OWT851992 PGO851992:PGP851992 PQK851992:PQL851992 QAG851992:QAH851992 QKC851992:QKD851992 QTY851992:QTZ851992 RDU851992:RDV851992 RNQ851992:RNR851992 RXM851992:RXN851992 SHI851992:SHJ851992 SRE851992:SRF851992 TBA851992:TBB851992 TKW851992:TKX851992 TUS851992:TUT851992 UEO851992:UEP851992 UOK851992:UOL851992 UYG851992:UYH851992 VIC851992:VID851992 VRY851992:VRZ851992 WBU851992:WBV851992 WLQ851992:WLR851992 WVM851992:WVN851992 E917528:F917528 JA917528:JB917528 SW917528:SX917528 ACS917528:ACT917528 AMO917528:AMP917528 AWK917528:AWL917528 BGG917528:BGH917528 BQC917528:BQD917528 BZY917528:BZZ917528 CJU917528:CJV917528 CTQ917528:CTR917528 DDM917528:DDN917528 DNI917528:DNJ917528 DXE917528:DXF917528 EHA917528:EHB917528 EQW917528:EQX917528 FAS917528:FAT917528 FKO917528:FKP917528 FUK917528:FUL917528 GEG917528:GEH917528 GOC917528:GOD917528 GXY917528:GXZ917528 HHU917528:HHV917528 HRQ917528:HRR917528 IBM917528:IBN917528 ILI917528:ILJ917528 IVE917528:IVF917528 JFA917528:JFB917528 JOW917528:JOX917528 JYS917528:JYT917528 KIO917528:KIP917528 KSK917528:KSL917528 LCG917528:LCH917528 LMC917528:LMD917528 LVY917528:LVZ917528 MFU917528:MFV917528 MPQ917528:MPR917528 MZM917528:MZN917528 NJI917528:NJJ917528 NTE917528:NTF917528 ODA917528:ODB917528 OMW917528:OMX917528 OWS917528:OWT917528 PGO917528:PGP917528 PQK917528:PQL917528 QAG917528:QAH917528 QKC917528:QKD917528 QTY917528:QTZ917528 RDU917528:RDV917528 RNQ917528:RNR917528 RXM917528:RXN917528 SHI917528:SHJ917528 SRE917528:SRF917528 TBA917528:TBB917528 TKW917528:TKX917528 TUS917528:TUT917528 UEO917528:UEP917528 UOK917528:UOL917528 UYG917528:UYH917528 VIC917528:VID917528 VRY917528:VRZ917528 WBU917528:WBV917528 WLQ917528:WLR917528 WVM917528:WVN917528 E983064:F983064 JA983064:JB983064 SW983064:SX983064 ACS983064:ACT983064 AMO983064:AMP983064 AWK983064:AWL983064 BGG983064:BGH983064 BQC983064:BQD983064 BZY983064:BZZ983064 CJU983064:CJV983064 CTQ983064:CTR983064 DDM983064:DDN983064 DNI983064:DNJ983064 DXE983064:DXF983064 EHA983064:EHB983064 EQW983064:EQX983064 FAS983064:FAT983064 FKO983064:FKP983064 FUK983064:FUL983064 GEG983064:GEH983064 GOC983064:GOD983064 GXY983064:GXZ983064 HHU983064:HHV983064 HRQ983064:HRR983064 IBM983064:IBN983064 ILI983064:ILJ983064 IVE983064:IVF983064 JFA983064:JFB983064 JOW983064:JOX983064 JYS983064:JYT983064 KIO983064:KIP983064 KSK983064:KSL983064 LCG983064:LCH983064 LMC983064:LMD983064 LVY983064:LVZ983064 MFU983064:MFV983064 MPQ983064:MPR983064 MZM983064:MZN983064 NJI983064:NJJ983064 NTE983064:NTF983064 ODA983064:ODB983064 OMW983064:OMX983064 OWS983064:OWT983064 PGO983064:PGP983064 PQK983064:PQL983064 QAG983064:QAH983064 QKC983064:QKD983064 QTY983064:QTZ983064 RDU983064:RDV983064 RNQ983064:RNR983064 RXM983064:RXN983064 SHI983064:SHJ983064 SRE983064:SRF983064 TBA983064:TBB983064 TKW983064:TKX983064 TUS983064:TUT983064 UEO983064:UEP983064 UOK983064:UOL983064 UYG983064:UYH983064 VIC983064:VID983064 VRY983064:VRZ983064 WBU983064:WBV983064 WLQ983064:WLR983064 WVM983064:WVN983064">
      <formula1>$F$175:$F$184</formula1>
    </dataValidation>
    <dataValidation type="decimal" allowBlank="1" showInputMessage="1" showErrorMessage="1" sqref="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formula1>-10000000000</formula1>
      <formula2>10000000000</formula2>
    </dataValidation>
    <dataValidation type="list" showInputMessage="1" showErrorMessage="1" sqref="F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formula1>$C$172:$C$174</formula1>
    </dataValidation>
    <dataValidation type="list" allowBlank="1" showErrorMessage="1" promptTitle="Suivant l'étude comparative : " prompt="Suivant l'étude comparative : _x000a_La meilleure des solutions est à sélectionner face à la géothermie." sqref="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formula1>$F$170:$F$172</formula1>
    </dataValidation>
    <dataValidation type="list" allowBlank="1" showInputMessage="1" showErrorMessage="1" sqref="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E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E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E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E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E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E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E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E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E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E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E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E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E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E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$F$169:$F$173</formula1>
    </dataValidation>
    <dataValidation type="list" allowBlank="1" showErrorMessage="1" prompt="Petite entreprise: Moins de 50 personnes et 10M€ CA annuel_x000a_Moyenne entreprise: Moins de 250 personnes et 50M€ CA annuel" sqref="E22:F22 JA22:JB22 SW22:SX22 ACS22:ACT22 AMO22:AMP22 AWK22:AWL22 BGG22:BGH22 BQC22:BQD22 BZY22:BZZ22 CJU22:CJV22 CTQ22:CTR22 DDM22:DDN22 DNI22:DNJ22 DXE22:DXF22 EHA22:EHB22 EQW22:EQX22 FAS22:FAT22 FKO22:FKP22 FUK22:FUL22 GEG22:GEH22 GOC22:GOD22 GXY22:GXZ22 HHU22:HHV22 HRQ22:HRR22 IBM22:IBN22 ILI22:ILJ22 IVE22:IVF22 JFA22:JFB22 JOW22:JOX22 JYS22:JYT22 KIO22:KIP22 KSK22:KSL22 LCG22:LCH22 LMC22:LMD22 LVY22:LVZ22 MFU22:MFV22 MPQ22:MPR22 MZM22:MZN22 NJI22:NJJ22 NTE22:NTF22 ODA22:ODB22 OMW22:OMX22 OWS22:OWT22 PGO22:PGP22 PQK22:PQL22 QAG22:QAH22 QKC22:QKD22 QTY22:QTZ22 RDU22:RDV22 RNQ22:RNR22 RXM22:RXN22 SHI22:SHJ22 SRE22:SRF22 TBA22:TBB22 TKW22:TKX22 TUS22:TUT22 UEO22:UEP22 UOK22:UOL22 UYG22:UYH22 VIC22:VID22 VRY22:VRZ22 WBU22:WBV22 WLQ22:WLR22 WVM22:WVN22 E65558:F65558 JA65558:JB65558 SW65558:SX65558 ACS65558:ACT65558 AMO65558:AMP65558 AWK65558:AWL65558 BGG65558:BGH65558 BQC65558:BQD65558 BZY65558:BZZ65558 CJU65558:CJV65558 CTQ65558:CTR65558 DDM65558:DDN65558 DNI65558:DNJ65558 DXE65558:DXF65558 EHA65558:EHB65558 EQW65558:EQX65558 FAS65558:FAT65558 FKO65558:FKP65558 FUK65558:FUL65558 GEG65558:GEH65558 GOC65558:GOD65558 GXY65558:GXZ65558 HHU65558:HHV65558 HRQ65558:HRR65558 IBM65558:IBN65558 ILI65558:ILJ65558 IVE65558:IVF65558 JFA65558:JFB65558 JOW65558:JOX65558 JYS65558:JYT65558 KIO65558:KIP65558 KSK65558:KSL65558 LCG65558:LCH65558 LMC65558:LMD65558 LVY65558:LVZ65558 MFU65558:MFV65558 MPQ65558:MPR65558 MZM65558:MZN65558 NJI65558:NJJ65558 NTE65558:NTF65558 ODA65558:ODB65558 OMW65558:OMX65558 OWS65558:OWT65558 PGO65558:PGP65558 PQK65558:PQL65558 QAG65558:QAH65558 QKC65558:QKD65558 QTY65558:QTZ65558 RDU65558:RDV65558 RNQ65558:RNR65558 RXM65558:RXN65558 SHI65558:SHJ65558 SRE65558:SRF65558 TBA65558:TBB65558 TKW65558:TKX65558 TUS65558:TUT65558 UEO65558:UEP65558 UOK65558:UOL65558 UYG65558:UYH65558 VIC65558:VID65558 VRY65558:VRZ65558 WBU65558:WBV65558 WLQ65558:WLR65558 WVM65558:WVN65558 E131094:F131094 JA131094:JB131094 SW131094:SX131094 ACS131094:ACT131094 AMO131094:AMP131094 AWK131094:AWL131094 BGG131094:BGH131094 BQC131094:BQD131094 BZY131094:BZZ131094 CJU131094:CJV131094 CTQ131094:CTR131094 DDM131094:DDN131094 DNI131094:DNJ131094 DXE131094:DXF131094 EHA131094:EHB131094 EQW131094:EQX131094 FAS131094:FAT131094 FKO131094:FKP131094 FUK131094:FUL131094 GEG131094:GEH131094 GOC131094:GOD131094 GXY131094:GXZ131094 HHU131094:HHV131094 HRQ131094:HRR131094 IBM131094:IBN131094 ILI131094:ILJ131094 IVE131094:IVF131094 JFA131094:JFB131094 JOW131094:JOX131094 JYS131094:JYT131094 KIO131094:KIP131094 KSK131094:KSL131094 LCG131094:LCH131094 LMC131094:LMD131094 LVY131094:LVZ131094 MFU131094:MFV131094 MPQ131094:MPR131094 MZM131094:MZN131094 NJI131094:NJJ131094 NTE131094:NTF131094 ODA131094:ODB131094 OMW131094:OMX131094 OWS131094:OWT131094 PGO131094:PGP131094 PQK131094:PQL131094 QAG131094:QAH131094 QKC131094:QKD131094 QTY131094:QTZ131094 RDU131094:RDV131094 RNQ131094:RNR131094 RXM131094:RXN131094 SHI131094:SHJ131094 SRE131094:SRF131094 TBA131094:TBB131094 TKW131094:TKX131094 TUS131094:TUT131094 UEO131094:UEP131094 UOK131094:UOL131094 UYG131094:UYH131094 VIC131094:VID131094 VRY131094:VRZ131094 WBU131094:WBV131094 WLQ131094:WLR131094 WVM131094:WVN131094 E196630:F196630 JA196630:JB196630 SW196630:SX196630 ACS196630:ACT196630 AMO196630:AMP196630 AWK196630:AWL196630 BGG196630:BGH196630 BQC196630:BQD196630 BZY196630:BZZ196630 CJU196630:CJV196630 CTQ196630:CTR196630 DDM196630:DDN196630 DNI196630:DNJ196630 DXE196630:DXF196630 EHA196630:EHB196630 EQW196630:EQX196630 FAS196630:FAT196630 FKO196630:FKP196630 FUK196630:FUL196630 GEG196630:GEH196630 GOC196630:GOD196630 GXY196630:GXZ196630 HHU196630:HHV196630 HRQ196630:HRR196630 IBM196630:IBN196630 ILI196630:ILJ196630 IVE196630:IVF196630 JFA196630:JFB196630 JOW196630:JOX196630 JYS196630:JYT196630 KIO196630:KIP196630 KSK196630:KSL196630 LCG196630:LCH196630 LMC196630:LMD196630 LVY196630:LVZ196630 MFU196630:MFV196630 MPQ196630:MPR196630 MZM196630:MZN196630 NJI196630:NJJ196630 NTE196630:NTF196630 ODA196630:ODB196630 OMW196630:OMX196630 OWS196630:OWT196630 PGO196630:PGP196630 PQK196630:PQL196630 QAG196630:QAH196630 QKC196630:QKD196630 QTY196630:QTZ196630 RDU196630:RDV196630 RNQ196630:RNR196630 RXM196630:RXN196630 SHI196630:SHJ196630 SRE196630:SRF196630 TBA196630:TBB196630 TKW196630:TKX196630 TUS196630:TUT196630 UEO196630:UEP196630 UOK196630:UOL196630 UYG196630:UYH196630 VIC196630:VID196630 VRY196630:VRZ196630 WBU196630:WBV196630 WLQ196630:WLR196630 WVM196630:WVN196630 E262166:F262166 JA262166:JB262166 SW262166:SX262166 ACS262166:ACT262166 AMO262166:AMP262166 AWK262166:AWL262166 BGG262166:BGH262166 BQC262166:BQD262166 BZY262166:BZZ262166 CJU262166:CJV262166 CTQ262166:CTR262166 DDM262166:DDN262166 DNI262166:DNJ262166 DXE262166:DXF262166 EHA262166:EHB262166 EQW262166:EQX262166 FAS262166:FAT262166 FKO262166:FKP262166 FUK262166:FUL262166 GEG262166:GEH262166 GOC262166:GOD262166 GXY262166:GXZ262166 HHU262166:HHV262166 HRQ262166:HRR262166 IBM262166:IBN262166 ILI262166:ILJ262166 IVE262166:IVF262166 JFA262166:JFB262166 JOW262166:JOX262166 JYS262166:JYT262166 KIO262166:KIP262166 KSK262166:KSL262166 LCG262166:LCH262166 LMC262166:LMD262166 LVY262166:LVZ262166 MFU262166:MFV262166 MPQ262166:MPR262166 MZM262166:MZN262166 NJI262166:NJJ262166 NTE262166:NTF262166 ODA262166:ODB262166 OMW262166:OMX262166 OWS262166:OWT262166 PGO262166:PGP262166 PQK262166:PQL262166 QAG262166:QAH262166 QKC262166:QKD262166 QTY262166:QTZ262166 RDU262166:RDV262166 RNQ262166:RNR262166 RXM262166:RXN262166 SHI262166:SHJ262166 SRE262166:SRF262166 TBA262166:TBB262166 TKW262166:TKX262166 TUS262166:TUT262166 UEO262166:UEP262166 UOK262166:UOL262166 UYG262166:UYH262166 VIC262166:VID262166 VRY262166:VRZ262166 WBU262166:WBV262166 WLQ262166:WLR262166 WVM262166:WVN262166 E327702:F327702 JA327702:JB327702 SW327702:SX327702 ACS327702:ACT327702 AMO327702:AMP327702 AWK327702:AWL327702 BGG327702:BGH327702 BQC327702:BQD327702 BZY327702:BZZ327702 CJU327702:CJV327702 CTQ327702:CTR327702 DDM327702:DDN327702 DNI327702:DNJ327702 DXE327702:DXF327702 EHA327702:EHB327702 EQW327702:EQX327702 FAS327702:FAT327702 FKO327702:FKP327702 FUK327702:FUL327702 GEG327702:GEH327702 GOC327702:GOD327702 GXY327702:GXZ327702 HHU327702:HHV327702 HRQ327702:HRR327702 IBM327702:IBN327702 ILI327702:ILJ327702 IVE327702:IVF327702 JFA327702:JFB327702 JOW327702:JOX327702 JYS327702:JYT327702 KIO327702:KIP327702 KSK327702:KSL327702 LCG327702:LCH327702 LMC327702:LMD327702 LVY327702:LVZ327702 MFU327702:MFV327702 MPQ327702:MPR327702 MZM327702:MZN327702 NJI327702:NJJ327702 NTE327702:NTF327702 ODA327702:ODB327702 OMW327702:OMX327702 OWS327702:OWT327702 PGO327702:PGP327702 PQK327702:PQL327702 QAG327702:QAH327702 QKC327702:QKD327702 QTY327702:QTZ327702 RDU327702:RDV327702 RNQ327702:RNR327702 RXM327702:RXN327702 SHI327702:SHJ327702 SRE327702:SRF327702 TBA327702:TBB327702 TKW327702:TKX327702 TUS327702:TUT327702 UEO327702:UEP327702 UOK327702:UOL327702 UYG327702:UYH327702 VIC327702:VID327702 VRY327702:VRZ327702 WBU327702:WBV327702 WLQ327702:WLR327702 WVM327702:WVN327702 E393238:F393238 JA393238:JB393238 SW393238:SX393238 ACS393238:ACT393238 AMO393238:AMP393238 AWK393238:AWL393238 BGG393238:BGH393238 BQC393238:BQD393238 BZY393238:BZZ393238 CJU393238:CJV393238 CTQ393238:CTR393238 DDM393238:DDN393238 DNI393238:DNJ393238 DXE393238:DXF393238 EHA393238:EHB393238 EQW393238:EQX393238 FAS393238:FAT393238 FKO393238:FKP393238 FUK393238:FUL393238 GEG393238:GEH393238 GOC393238:GOD393238 GXY393238:GXZ393238 HHU393238:HHV393238 HRQ393238:HRR393238 IBM393238:IBN393238 ILI393238:ILJ393238 IVE393238:IVF393238 JFA393238:JFB393238 JOW393238:JOX393238 JYS393238:JYT393238 KIO393238:KIP393238 KSK393238:KSL393238 LCG393238:LCH393238 LMC393238:LMD393238 LVY393238:LVZ393238 MFU393238:MFV393238 MPQ393238:MPR393238 MZM393238:MZN393238 NJI393238:NJJ393238 NTE393238:NTF393238 ODA393238:ODB393238 OMW393238:OMX393238 OWS393238:OWT393238 PGO393238:PGP393238 PQK393238:PQL393238 QAG393238:QAH393238 QKC393238:QKD393238 QTY393238:QTZ393238 RDU393238:RDV393238 RNQ393238:RNR393238 RXM393238:RXN393238 SHI393238:SHJ393238 SRE393238:SRF393238 TBA393238:TBB393238 TKW393238:TKX393238 TUS393238:TUT393238 UEO393238:UEP393238 UOK393238:UOL393238 UYG393238:UYH393238 VIC393238:VID393238 VRY393238:VRZ393238 WBU393238:WBV393238 WLQ393238:WLR393238 WVM393238:WVN393238 E458774:F458774 JA458774:JB458774 SW458774:SX458774 ACS458774:ACT458774 AMO458774:AMP458774 AWK458774:AWL458774 BGG458774:BGH458774 BQC458774:BQD458774 BZY458774:BZZ458774 CJU458774:CJV458774 CTQ458774:CTR458774 DDM458774:DDN458774 DNI458774:DNJ458774 DXE458774:DXF458774 EHA458774:EHB458774 EQW458774:EQX458774 FAS458774:FAT458774 FKO458774:FKP458774 FUK458774:FUL458774 GEG458774:GEH458774 GOC458774:GOD458774 GXY458774:GXZ458774 HHU458774:HHV458774 HRQ458774:HRR458774 IBM458774:IBN458774 ILI458774:ILJ458774 IVE458774:IVF458774 JFA458774:JFB458774 JOW458774:JOX458774 JYS458774:JYT458774 KIO458774:KIP458774 KSK458774:KSL458774 LCG458774:LCH458774 LMC458774:LMD458774 LVY458774:LVZ458774 MFU458774:MFV458774 MPQ458774:MPR458774 MZM458774:MZN458774 NJI458774:NJJ458774 NTE458774:NTF458774 ODA458774:ODB458774 OMW458774:OMX458774 OWS458774:OWT458774 PGO458774:PGP458774 PQK458774:PQL458774 QAG458774:QAH458774 QKC458774:QKD458774 QTY458774:QTZ458774 RDU458774:RDV458774 RNQ458774:RNR458774 RXM458774:RXN458774 SHI458774:SHJ458774 SRE458774:SRF458774 TBA458774:TBB458774 TKW458774:TKX458774 TUS458774:TUT458774 UEO458774:UEP458774 UOK458774:UOL458774 UYG458774:UYH458774 VIC458774:VID458774 VRY458774:VRZ458774 WBU458774:WBV458774 WLQ458774:WLR458774 WVM458774:WVN458774 E524310:F524310 JA524310:JB524310 SW524310:SX524310 ACS524310:ACT524310 AMO524310:AMP524310 AWK524310:AWL524310 BGG524310:BGH524310 BQC524310:BQD524310 BZY524310:BZZ524310 CJU524310:CJV524310 CTQ524310:CTR524310 DDM524310:DDN524310 DNI524310:DNJ524310 DXE524310:DXF524310 EHA524310:EHB524310 EQW524310:EQX524310 FAS524310:FAT524310 FKO524310:FKP524310 FUK524310:FUL524310 GEG524310:GEH524310 GOC524310:GOD524310 GXY524310:GXZ524310 HHU524310:HHV524310 HRQ524310:HRR524310 IBM524310:IBN524310 ILI524310:ILJ524310 IVE524310:IVF524310 JFA524310:JFB524310 JOW524310:JOX524310 JYS524310:JYT524310 KIO524310:KIP524310 KSK524310:KSL524310 LCG524310:LCH524310 LMC524310:LMD524310 LVY524310:LVZ524310 MFU524310:MFV524310 MPQ524310:MPR524310 MZM524310:MZN524310 NJI524310:NJJ524310 NTE524310:NTF524310 ODA524310:ODB524310 OMW524310:OMX524310 OWS524310:OWT524310 PGO524310:PGP524310 PQK524310:PQL524310 QAG524310:QAH524310 QKC524310:QKD524310 QTY524310:QTZ524310 RDU524310:RDV524310 RNQ524310:RNR524310 RXM524310:RXN524310 SHI524310:SHJ524310 SRE524310:SRF524310 TBA524310:TBB524310 TKW524310:TKX524310 TUS524310:TUT524310 UEO524310:UEP524310 UOK524310:UOL524310 UYG524310:UYH524310 VIC524310:VID524310 VRY524310:VRZ524310 WBU524310:WBV524310 WLQ524310:WLR524310 WVM524310:WVN524310 E589846:F589846 JA589846:JB589846 SW589846:SX589846 ACS589846:ACT589846 AMO589846:AMP589846 AWK589846:AWL589846 BGG589846:BGH589846 BQC589846:BQD589846 BZY589846:BZZ589846 CJU589846:CJV589846 CTQ589846:CTR589846 DDM589846:DDN589846 DNI589846:DNJ589846 DXE589846:DXF589846 EHA589846:EHB589846 EQW589846:EQX589846 FAS589846:FAT589846 FKO589846:FKP589846 FUK589846:FUL589846 GEG589846:GEH589846 GOC589846:GOD589846 GXY589846:GXZ589846 HHU589846:HHV589846 HRQ589846:HRR589846 IBM589846:IBN589846 ILI589846:ILJ589846 IVE589846:IVF589846 JFA589846:JFB589846 JOW589846:JOX589846 JYS589846:JYT589846 KIO589846:KIP589846 KSK589846:KSL589846 LCG589846:LCH589846 LMC589846:LMD589846 LVY589846:LVZ589846 MFU589846:MFV589846 MPQ589846:MPR589846 MZM589846:MZN589846 NJI589846:NJJ589846 NTE589846:NTF589846 ODA589846:ODB589846 OMW589846:OMX589846 OWS589846:OWT589846 PGO589846:PGP589846 PQK589846:PQL589846 QAG589846:QAH589846 QKC589846:QKD589846 QTY589846:QTZ589846 RDU589846:RDV589846 RNQ589846:RNR589846 RXM589846:RXN589846 SHI589846:SHJ589846 SRE589846:SRF589846 TBA589846:TBB589846 TKW589846:TKX589846 TUS589846:TUT589846 UEO589846:UEP589846 UOK589846:UOL589846 UYG589846:UYH589846 VIC589846:VID589846 VRY589846:VRZ589846 WBU589846:WBV589846 WLQ589846:WLR589846 WVM589846:WVN589846 E655382:F655382 JA655382:JB655382 SW655382:SX655382 ACS655382:ACT655382 AMO655382:AMP655382 AWK655382:AWL655382 BGG655382:BGH655382 BQC655382:BQD655382 BZY655382:BZZ655382 CJU655382:CJV655382 CTQ655382:CTR655382 DDM655382:DDN655382 DNI655382:DNJ655382 DXE655382:DXF655382 EHA655382:EHB655382 EQW655382:EQX655382 FAS655382:FAT655382 FKO655382:FKP655382 FUK655382:FUL655382 GEG655382:GEH655382 GOC655382:GOD655382 GXY655382:GXZ655382 HHU655382:HHV655382 HRQ655382:HRR655382 IBM655382:IBN655382 ILI655382:ILJ655382 IVE655382:IVF655382 JFA655382:JFB655382 JOW655382:JOX655382 JYS655382:JYT655382 KIO655382:KIP655382 KSK655382:KSL655382 LCG655382:LCH655382 LMC655382:LMD655382 LVY655382:LVZ655382 MFU655382:MFV655382 MPQ655382:MPR655382 MZM655382:MZN655382 NJI655382:NJJ655382 NTE655382:NTF655382 ODA655382:ODB655382 OMW655382:OMX655382 OWS655382:OWT655382 PGO655382:PGP655382 PQK655382:PQL655382 QAG655382:QAH655382 QKC655382:QKD655382 QTY655382:QTZ655382 RDU655382:RDV655382 RNQ655382:RNR655382 RXM655382:RXN655382 SHI655382:SHJ655382 SRE655382:SRF655382 TBA655382:TBB655382 TKW655382:TKX655382 TUS655382:TUT655382 UEO655382:UEP655382 UOK655382:UOL655382 UYG655382:UYH655382 VIC655382:VID655382 VRY655382:VRZ655382 WBU655382:WBV655382 WLQ655382:WLR655382 WVM655382:WVN655382 E720918:F720918 JA720918:JB720918 SW720918:SX720918 ACS720918:ACT720918 AMO720918:AMP720918 AWK720918:AWL720918 BGG720918:BGH720918 BQC720918:BQD720918 BZY720918:BZZ720918 CJU720918:CJV720918 CTQ720918:CTR720918 DDM720918:DDN720918 DNI720918:DNJ720918 DXE720918:DXF720918 EHA720918:EHB720918 EQW720918:EQX720918 FAS720918:FAT720918 FKO720918:FKP720918 FUK720918:FUL720918 GEG720918:GEH720918 GOC720918:GOD720918 GXY720918:GXZ720918 HHU720918:HHV720918 HRQ720918:HRR720918 IBM720918:IBN720918 ILI720918:ILJ720918 IVE720918:IVF720918 JFA720918:JFB720918 JOW720918:JOX720918 JYS720918:JYT720918 KIO720918:KIP720918 KSK720918:KSL720918 LCG720918:LCH720918 LMC720918:LMD720918 LVY720918:LVZ720918 MFU720918:MFV720918 MPQ720918:MPR720918 MZM720918:MZN720918 NJI720918:NJJ720918 NTE720918:NTF720918 ODA720918:ODB720918 OMW720918:OMX720918 OWS720918:OWT720918 PGO720918:PGP720918 PQK720918:PQL720918 QAG720918:QAH720918 QKC720918:QKD720918 QTY720918:QTZ720918 RDU720918:RDV720918 RNQ720918:RNR720918 RXM720918:RXN720918 SHI720918:SHJ720918 SRE720918:SRF720918 TBA720918:TBB720918 TKW720918:TKX720918 TUS720918:TUT720918 UEO720918:UEP720918 UOK720918:UOL720918 UYG720918:UYH720918 VIC720918:VID720918 VRY720918:VRZ720918 WBU720918:WBV720918 WLQ720918:WLR720918 WVM720918:WVN720918 E786454:F786454 JA786454:JB786454 SW786454:SX786454 ACS786454:ACT786454 AMO786454:AMP786454 AWK786454:AWL786454 BGG786454:BGH786454 BQC786454:BQD786454 BZY786454:BZZ786454 CJU786454:CJV786454 CTQ786454:CTR786454 DDM786454:DDN786454 DNI786454:DNJ786454 DXE786454:DXF786454 EHA786454:EHB786454 EQW786454:EQX786454 FAS786454:FAT786454 FKO786454:FKP786454 FUK786454:FUL786454 GEG786454:GEH786454 GOC786454:GOD786454 GXY786454:GXZ786454 HHU786454:HHV786454 HRQ786454:HRR786454 IBM786454:IBN786454 ILI786454:ILJ786454 IVE786454:IVF786454 JFA786454:JFB786454 JOW786454:JOX786454 JYS786454:JYT786454 KIO786454:KIP786454 KSK786454:KSL786454 LCG786454:LCH786454 LMC786454:LMD786454 LVY786454:LVZ786454 MFU786454:MFV786454 MPQ786454:MPR786454 MZM786454:MZN786454 NJI786454:NJJ786454 NTE786454:NTF786454 ODA786454:ODB786454 OMW786454:OMX786454 OWS786454:OWT786454 PGO786454:PGP786454 PQK786454:PQL786454 QAG786454:QAH786454 QKC786454:QKD786454 QTY786454:QTZ786454 RDU786454:RDV786454 RNQ786454:RNR786454 RXM786454:RXN786454 SHI786454:SHJ786454 SRE786454:SRF786454 TBA786454:TBB786454 TKW786454:TKX786454 TUS786454:TUT786454 UEO786454:UEP786454 UOK786454:UOL786454 UYG786454:UYH786454 VIC786454:VID786454 VRY786454:VRZ786454 WBU786454:WBV786454 WLQ786454:WLR786454 WVM786454:WVN786454 E851990:F851990 JA851990:JB851990 SW851990:SX851990 ACS851990:ACT851990 AMO851990:AMP851990 AWK851990:AWL851990 BGG851990:BGH851990 BQC851990:BQD851990 BZY851990:BZZ851990 CJU851990:CJV851990 CTQ851990:CTR851990 DDM851990:DDN851990 DNI851990:DNJ851990 DXE851990:DXF851990 EHA851990:EHB851990 EQW851990:EQX851990 FAS851990:FAT851990 FKO851990:FKP851990 FUK851990:FUL851990 GEG851990:GEH851990 GOC851990:GOD851990 GXY851990:GXZ851990 HHU851990:HHV851990 HRQ851990:HRR851990 IBM851990:IBN851990 ILI851990:ILJ851990 IVE851990:IVF851990 JFA851990:JFB851990 JOW851990:JOX851990 JYS851990:JYT851990 KIO851990:KIP851990 KSK851990:KSL851990 LCG851990:LCH851990 LMC851990:LMD851990 LVY851990:LVZ851990 MFU851990:MFV851990 MPQ851990:MPR851990 MZM851990:MZN851990 NJI851990:NJJ851990 NTE851990:NTF851990 ODA851990:ODB851990 OMW851990:OMX851990 OWS851990:OWT851990 PGO851990:PGP851990 PQK851990:PQL851990 QAG851990:QAH851990 QKC851990:QKD851990 QTY851990:QTZ851990 RDU851990:RDV851990 RNQ851990:RNR851990 RXM851990:RXN851990 SHI851990:SHJ851990 SRE851990:SRF851990 TBA851990:TBB851990 TKW851990:TKX851990 TUS851990:TUT851990 UEO851990:UEP851990 UOK851990:UOL851990 UYG851990:UYH851990 VIC851990:VID851990 VRY851990:VRZ851990 WBU851990:WBV851990 WLQ851990:WLR851990 WVM851990:WVN851990 E917526:F917526 JA917526:JB917526 SW917526:SX917526 ACS917526:ACT917526 AMO917526:AMP917526 AWK917526:AWL917526 BGG917526:BGH917526 BQC917526:BQD917526 BZY917526:BZZ917526 CJU917526:CJV917526 CTQ917526:CTR917526 DDM917526:DDN917526 DNI917526:DNJ917526 DXE917526:DXF917526 EHA917526:EHB917526 EQW917526:EQX917526 FAS917526:FAT917526 FKO917526:FKP917526 FUK917526:FUL917526 GEG917526:GEH917526 GOC917526:GOD917526 GXY917526:GXZ917526 HHU917526:HHV917526 HRQ917526:HRR917526 IBM917526:IBN917526 ILI917526:ILJ917526 IVE917526:IVF917526 JFA917526:JFB917526 JOW917526:JOX917526 JYS917526:JYT917526 KIO917526:KIP917526 KSK917526:KSL917526 LCG917526:LCH917526 LMC917526:LMD917526 LVY917526:LVZ917526 MFU917526:MFV917526 MPQ917526:MPR917526 MZM917526:MZN917526 NJI917526:NJJ917526 NTE917526:NTF917526 ODA917526:ODB917526 OMW917526:OMX917526 OWS917526:OWT917526 PGO917526:PGP917526 PQK917526:PQL917526 QAG917526:QAH917526 QKC917526:QKD917526 QTY917526:QTZ917526 RDU917526:RDV917526 RNQ917526:RNR917526 RXM917526:RXN917526 SHI917526:SHJ917526 SRE917526:SRF917526 TBA917526:TBB917526 TKW917526:TKX917526 TUS917526:TUT917526 UEO917526:UEP917526 UOK917526:UOL917526 UYG917526:UYH917526 VIC917526:VID917526 VRY917526:VRZ917526 WBU917526:WBV917526 WLQ917526:WLR917526 WVM917526:WVN917526 E983062:F983062 JA983062:JB983062 SW983062:SX983062 ACS983062:ACT983062 AMO983062:AMP983062 AWK983062:AWL983062 BGG983062:BGH983062 BQC983062:BQD983062 BZY983062:BZZ983062 CJU983062:CJV983062 CTQ983062:CTR983062 DDM983062:DDN983062 DNI983062:DNJ983062 DXE983062:DXF983062 EHA983062:EHB983062 EQW983062:EQX983062 FAS983062:FAT983062 FKO983062:FKP983062 FUK983062:FUL983062 GEG983062:GEH983062 GOC983062:GOD983062 GXY983062:GXZ983062 HHU983062:HHV983062 HRQ983062:HRR983062 IBM983062:IBN983062 ILI983062:ILJ983062 IVE983062:IVF983062 JFA983062:JFB983062 JOW983062:JOX983062 JYS983062:JYT983062 KIO983062:KIP983062 KSK983062:KSL983062 LCG983062:LCH983062 LMC983062:LMD983062 LVY983062:LVZ983062 MFU983062:MFV983062 MPQ983062:MPR983062 MZM983062:MZN983062 NJI983062:NJJ983062 NTE983062:NTF983062 ODA983062:ODB983062 OMW983062:OMX983062 OWS983062:OWT983062 PGO983062:PGP983062 PQK983062:PQL983062 QAG983062:QAH983062 QKC983062:QKD983062 QTY983062:QTZ983062 RDU983062:RDV983062 RNQ983062:RNR983062 RXM983062:RXN983062 SHI983062:SHJ983062 SRE983062:SRF983062 TBA983062:TBB983062 TKW983062:TKX983062 TUS983062:TUT983062 UEO983062:UEP983062 UOK983062:UOL983062 UYG983062:UYH983062 VIC983062:VID983062 VRY983062:VRZ983062 WBU983062:WBV983062 WLQ983062:WLR983062 WVM983062:WVN983062">
      <formula1>$C$168:$C$171</formula1>
    </dataValidation>
    <dataValidation allowBlank="1" showErrorMessage="1" promptTitle="Attention :" prompt="Cette valeur rentre dans le calcul des consommations._x000a_Bien vérifier les régimes de fonctionnement :_x000a_- Côté sondes à l'entrée de la PAC la température doit être comprise entre -3 °C et 8 °C._x000a_- Côté chaud sortie PAC de 45 à 60°C." sqref="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dataValidation type="list" allowBlank="1" showErrorMessage="1" prompt="N Neuf_x000a_E Existant_x000a_M Extension" sqref="E23:F23 JA23:JB23 SW23:SX23 ACS23:ACT23 AMO23:AMP23 AWK23:AWL23 BGG23:BGH23 BQC23:BQD23 BZY23:BZZ23 CJU23:CJV23 CTQ23:CTR23 DDM23:DDN23 DNI23:DNJ23 DXE23:DXF23 EHA23:EHB23 EQW23:EQX23 FAS23:FAT23 FKO23:FKP23 FUK23:FUL23 GEG23:GEH23 GOC23:GOD23 GXY23:GXZ23 HHU23:HHV23 HRQ23:HRR23 IBM23:IBN23 ILI23:ILJ23 IVE23:IVF23 JFA23:JFB23 JOW23:JOX23 JYS23:JYT23 KIO23:KIP23 KSK23:KSL23 LCG23:LCH23 LMC23:LMD23 LVY23:LVZ23 MFU23:MFV23 MPQ23:MPR23 MZM23:MZN23 NJI23:NJJ23 NTE23:NTF23 ODA23:ODB23 OMW23:OMX23 OWS23:OWT23 PGO23:PGP23 PQK23:PQL23 QAG23:QAH23 QKC23:QKD23 QTY23:QTZ23 RDU23:RDV23 RNQ23:RNR23 RXM23:RXN23 SHI23:SHJ23 SRE23:SRF23 TBA23:TBB23 TKW23:TKX23 TUS23:TUT23 UEO23:UEP23 UOK23:UOL23 UYG23:UYH23 VIC23:VID23 VRY23:VRZ23 WBU23:WBV23 WLQ23:WLR23 WVM23:WVN23 E65559:F65559 JA65559:JB65559 SW65559:SX65559 ACS65559:ACT65559 AMO65559:AMP65559 AWK65559:AWL65559 BGG65559:BGH65559 BQC65559:BQD65559 BZY65559:BZZ65559 CJU65559:CJV65559 CTQ65559:CTR65559 DDM65559:DDN65559 DNI65559:DNJ65559 DXE65559:DXF65559 EHA65559:EHB65559 EQW65559:EQX65559 FAS65559:FAT65559 FKO65559:FKP65559 FUK65559:FUL65559 GEG65559:GEH65559 GOC65559:GOD65559 GXY65559:GXZ65559 HHU65559:HHV65559 HRQ65559:HRR65559 IBM65559:IBN65559 ILI65559:ILJ65559 IVE65559:IVF65559 JFA65559:JFB65559 JOW65559:JOX65559 JYS65559:JYT65559 KIO65559:KIP65559 KSK65559:KSL65559 LCG65559:LCH65559 LMC65559:LMD65559 LVY65559:LVZ65559 MFU65559:MFV65559 MPQ65559:MPR65559 MZM65559:MZN65559 NJI65559:NJJ65559 NTE65559:NTF65559 ODA65559:ODB65559 OMW65559:OMX65559 OWS65559:OWT65559 PGO65559:PGP65559 PQK65559:PQL65559 QAG65559:QAH65559 QKC65559:QKD65559 QTY65559:QTZ65559 RDU65559:RDV65559 RNQ65559:RNR65559 RXM65559:RXN65559 SHI65559:SHJ65559 SRE65559:SRF65559 TBA65559:TBB65559 TKW65559:TKX65559 TUS65559:TUT65559 UEO65559:UEP65559 UOK65559:UOL65559 UYG65559:UYH65559 VIC65559:VID65559 VRY65559:VRZ65559 WBU65559:WBV65559 WLQ65559:WLR65559 WVM65559:WVN65559 E131095:F131095 JA131095:JB131095 SW131095:SX131095 ACS131095:ACT131095 AMO131095:AMP131095 AWK131095:AWL131095 BGG131095:BGH131095 BQC131095:BQD131095 BZY131095:BZZ131095 CJU131095:CJV131095 CTQ131095:CTR131095 DDM131095:DDN131095 DNI131095:DNJ131095 DXE131095:DXF131095 EHA131095:EHB131095 EQW131095:EQX131095 FAS131095:FAT131095 FKO131095:FKP131095 FUK131095:FUL131095 GEG131095:GEH131095 GOC131095:GOD131095 GXY131095:GXZ131095 HHU131095:HHV131095 HRQ131095:HRR131095 IBM131095:IBN131095 ILI131095:ILJ131095 IVE131095:IVF131095 JFA131095:JFB131095 JOW131095:JOX131095 JYS131095:JYT131095 KIO131095:KIP131095 KSK131095:KSL131095 LCG131095:LCH131095 LMC131095:LMD131095 LVY131095:LVZ131095 MFU131095:MFV131095 MPQ131095:MPR131095 MZM131095:MZN131095 NJI131095:NJJ131095 NTE131095:NTF131095 ODA131095:ODB131095 OMW131095:OMX131095 OWS131095:OWT131095 PGO131095:PGP131095 PQK131095:PQL131095 QAG131095:QAH131095 QKC131095:QKD131095 QTY131095:QTZ131095 RDU131095:RDV131095 RNQ131095:RNR131095 RXM131095:RXN131095 SHI131095:SHJ131095 SRE131095:SRF131095 TBA131095:TBB131095 TKW131095:TKX131095 TUS131095:TUT131095 UEO131095:UEP131095 UOK131095:UOL131095 UYG131095:UYH131095 VIC131095:VID131095 VRY131095:VRZ131095 WBU131095:WBV131095 WLQ131095:WLR131095 WVM131095:WVN131095 E196631:F196631 JA196631:JB196631 SW196631:SX196631 ACS196631:ACT196631 AMO196631:AMP196631 AWK196631:AWL196631 BGG196631:BGH196631 BQC196631:BQD196631 BZY196631:BZZ196631 CJU196631:CJV196631 CTQ196631:CTR196631 DDM196631:DDN196631 DNI196631:DNJ196631 DXE196631:DXF196631 EHA196631:EHB196631 EQW196631:EQX196631 FAS196631:FAT196631 FKO196631:FKP196631 FUK196631:FUL196631 GEG196631:GEH196631 GOC196631:GOD196631 GXY196631:GXZ196631 HHU196631:HHV196631 HRQ196631:HRR196631 IBM196631:IBN196631 ILI196631:ILJ196631 IVE196631:IVF196631 JFA196631:JFB196631 JOW196631:JOX196631 JYS196631:JYT196631 KIO196631:KIP196631 KSK196631:KSL196631 LCG196631:LCH196631 LMC196631:LMD196631 LVY196631:LVZ196631 MFU196631:MFV196631 MPQ196631:MPR196631 MZM196631:MZN196631 NJI196631:NJJ196631 NTE196631:NTF196631 ODA196631:ODB196631 OMW196631:OMX196631 OWS196631:OWT196631 PGO196631:PGP196631 PQK196631:PQL196631 QAG196631:QAH196631 QKC196631:QKD196631 QTY196631:QTZ196631 RDU196631:RDV196631 RNQ196631:RNR196631 RXM196631:RXN196631 SHI196631:SHJ196631 SRE196631:SRF196631 TBA196631:TBB196631 TKW196631:TKX196631 TUS196631:TUT196631 UEO196631:UEP196631 UOK196631:UOL196631 UYG196631:UYH196631 VIC196631:VID196631 VRY196631:VRZ196631 WBU196631:WBV196631 WLQ196631:WLR196631 WVM196631:WVN196631 E262167:F262167 JA262167:JB262167 SW262167:SX262167 ACS262167:ACT262167 AMO262167:AMP262167 AWK262167:AWL262167 BGG262167:BGH262167 BQC262167:BQD262167 BZY262167:BZZ262167 CJU262167:CJV262167 CTQ262167:CTR262167 DDM262167:DDN262167 DNI262167:DNJ262167 DXE262167:DXF262167 EHA262167:EHB262167 EQW262167:EQX262167 FAS262167:FAT262167 FKO262167:FKP262167 FUK262167:FUL262167 GEG262167:GEH262167 GOC262167:GOD262167 GXY262167:GXZ262167 HHU262167:HHV262167 HRQ262167:HRR262167 IBM262167:IBN262167 ILI262167:ILJ262167 IVE262167:IVF262167 JFA262167:JFB262167 JOW262167:JOX262167 JYS262167:JYT262167 KIO262167:KIP262167 KSK262167:KSL262167 LCG262167:LCH262167 LMC262167:LMD262167 LVY262167:LVZ262167 MFU262167:MFV262167 MPQ262167:MPR262167 MZM262167:MZN262167 NJI262167:NJJ262167 NTE262167:NTF262167 ODA262167:ODB262167 OMW262167:OMX262167 OWS262167:OWT262167 PGO262167:PGP262167 PQK262167:PQL262167 QAG262167:QAH262167 QKC262167:QKD262167 QTY262167:QTZ262167 RDU262167:RDV262167 RNQ262167:RNR262167 RXM262167:RXN262167 SHI262167:SHJ262167 SRE262167:SRF262167 TBA262167:TBB262167 TKW262167:TKX262167 TUS262167:TUT262167 UEO262167:UEP262167 UOK262167:UOL262167 UYG262167:UYH262167 VIC262167:VID262167 VRY262167:VRZ262167 WBU262167:WBV262167 WLQ262167:WLR262167 WVM262167:WVN262167 E327703:F327703 JA327703:JB327703 SW327703:SX327703 ACS327703:ACT327703 AMO327703:AMP327703 AWK327703:AWL327703 BGG327703:BGH327703 BQC327703:BQD327703 BZY327703:BZZ327703 CJU327703:CJV327703 CTQ327703:CTR327703 DDM327703:DDN327703 DNI327703:DNJ327703 DXE327703:DXF327703 EHA327703:EHB327703 EQW327703:EQX327703 FAS327703:FAT327703 FKO327703:FKP327703 FUK327703:FUL327703 GEG327703:GEH327703 GOC327703:GOD327703 GXY327703:GXZ327703 HHU327703:HHV327703 HRQ327703:HRR327703 IBM327703:IBN327703 ILI327703:ILJ327703 IVE327703:IVF327703 JFA327703:JFB327703 JOW327703:JOX327703 JYS327703:JYT327703 KIO327703:KIP327703 KSK327703:KSL327703 LCG327703:LCH327703 LMC327703:LMD327703 LVY327703:LVZ327703 MFU327703:MFV327703 MPQ327703:MPR327703 MZM327703:MZN327703 NJI327703:NJJ327703 NTE327703:NTF327703 ODA327703:ODB327703 OMW327703:OMX327703 OWS327703:OWT327703 PGO327703:PGP327703 PQK327703:PQL327703 QAG327703:QAH327703 QKC327703:QKD327703 QTY327703:QTZ327703 RDU327703:RDV327703 RNQ327703:RNR327703 RXM327703:RXN327703 SHI327703:SHJ327703 SRE327703:SRF327703 TBA327703:TBB327703 TKW327703:TKX327703 TUS327703:TUT327703 UEO327703:UEP327703 UOK327703:UOL327703 UYG327703:UYH327703 VIC327703:VID327703 VRY327703:VRZ327703 WBU327703:WBV327703 WLQ327703:WLR327703 WVM327703:WVN327703 E393239:F393239 JA393239:JB393239 SW393239:SX393239 ACS393239:ACT393239 AMO393239:AMP393239 AWK393239:AWL393239 BGG393239:BGH393239 BQC393239:BQD393239 BZY393239:BZZ393239 CJU393239:CJV393239 CTQ393239:CTR393239 DDM393239:DDN393239 DNI393239:DNJ393239 DXE393239:DXF393239 EHA393239:EHB393239 EQW393239:EQX393239 FAS393239:FAT393239 FKO393239:FKP393239 FUK393239:FUL393239 GEG393239:GEH393239 GOC393239:GOD393239 GXY393239:GXZ393239 HHU393239:HHV393239 HRQ393239:HRR393239 IBM393239:IBN393239 ILI393239:ILJ393239 IVE393239:IVF393239 JFA393239:JFB393239 JOW393239:JOX393239 JYS393239:JYT393239 KIO393239:KIP393239 KSK393239:KSL393239 LCG393239:LCH393239 LMC393239:LMD393239 LVY393239:LVZ393239 MFU393239:MFV393239 MPQ393239:MPR393239 MZM393239:MZN393239 NJI393239:NJJ393239 NTE393239:NTF393239 ODA393239:ODB393239 OMW393239:OMX393239 OWS393239:OWT393239 PGO393239:PGP393239 PQK393239:PQL393239 QAG393239:QAH393239 QKC393239:QKD393239 QTY393239:QTZ393239 RDU393239:RDV393239 RNQ393239:RNR393239 RXM393239:RXN393239 SHI393239:SHJ393239 SRE393239:SRF393239 TBA393239:TBB393239 TKW393239:TKX393239 TUS393239:TUT393239 UEO393239:UEP393239 UOK393239:UOL393239 UYG393239:UYH393239 VIC393239:VID393239 VRY393239:VRZ393239 WBU393239:WBV393239 WLQ393239:WLR393239 WVM393239:WVN393239 E458775:F458775 JA458775:JB458775 SW458775:SX458775 ACS458775:ACT458775 AMO458775:AMP458775 AWK458775:AWL458775 BGG458775:BGH458775 BQC458775:BQD458775 BZY458775:BZZ458775 CJU458775:CJV458775 CTQ458775:CTR458775 DDM458775:DDN458775 DNI458775:DNJ458775 DXE458775:DXF458775 EHA458775:EHB458775 EQW458775:EQX458775 FAS458775:FAT458775 FKO458775:FKP458775 FUK458775:FUL458775 GEG458775:GEH458775 GOC458775:GOD458775 GXY458775:GXZ458775 HHU458775:HHV458775 HRQ458775:HRR458775 IBM458775:IBN458775 ILI458775:ILJ458775 IVE458775:IVF458775 JFA458775:JFB458775 JOW458775:JOX458775 JYS458775:JYT458775 KIO458775:KIP458775 KSK458775:KSL458775 LCG458775:LCH458775 LMC458775:LMD458775 LVY458775:LVZ458775 MFU458775:MFV458775 MPQ458775:MPR458775 MZM458775:MZN458775 NJI458775:NJJ458775 NTE458775:NTF458775 ODA458775:ODB458775 OMW458775:OMX458775 OWS458775:OWT458775 PGO458775:PGP458775 PQK458775:PQL458775 QAG458775:QAH458775 QKC458775:QKD458775 QTY458775:QTZ458775 RDU458775:RDV458775 RNQ458775:RNR458775 RXM458775:RXN458775 SHI458775:SHJ458775 SRE458775:SRF458775 TBA458775:TBB458775 TKW458775:TKX458775 TUS458775:TUT458775 UEO458775:UEP458775 UOK458775:UOL458775 UYG458775:UYH458775 VIC458775:VID458775 VRY458775:VRZ458775 WBU458775:WBV458775 WLQ458775:WLR458775 WVM458775:WVN458775 E524311:F524311 JA524311:JB524311 SW524311:SX524311 ACS524311:ACT524311 AMO524311:AMP524311 AWK524311:AWL524311 BGG524311:BGH524311 BQC524311:BQD524311 BZY524311:BZZ524311 CJU524311:CJV524311 CTQ524311:CTR524311 DDM524311:DDN524311 DNI524311:DNJ524311 DXE524311:DXF524311 EHA524311:EHB524311 EQW524311:EQX524311 FAS524311:FAT524311 FKO524311:FKP524311 FUK524311:FUL524311 GEG524311:GEH524311 GOC524311:GOD524311 GXY524311:GXZ524311 HHU524311:HHV524311 HRQ524311:HRR524311 IBM524311:IBN524311 ILI524311:ILJ524311 IVE524311:IVF524311 JFA524311:JFB524311 JOW524311:JOX524311 JYS524311:JYT524311 KIO524311:KIP524311 KSK524311:KSL524311 LCG524311:LCH524311 LMC524311:LMD524311 LVY524311:LVZ524311 MFU524311:MFV524311 MPQ524311:MPR524311 MZM524311:MZN524311 NJI524311:NJJ524311 NTE524311:NTF524311 ODA524311:ODB524311 OMW524311:OMX524311 OWS524311:OWT524311 PGO524311:PGP524311 PQK524311:PQL524311 QAG524311:QAH524311 QKC524311:QKD524311 QTY524311:QTZ524311 RDU524311:RDV524311 RNQ524311:RNR524311 RXM524311:RXN524311 SHI524311:SHJ524311 SRE524311:SRF524311 TBA524311:TBB524311 TKW524311:TKX524311 TUS524311:TUT524311 UEO524311:UEP524311 UOK524311:UOL524311 UYG524311:UYH524311 VIC524311:VID524311 VRY524311:VRZ524311 WBU524311:WBV524311 WLQ524311:WLR524311 WVM524311:WVN524311 E589847:F589847 JA589847:JB589847 SW589847:SX589847 ACS589847:ACT589847 AMO589847:AMP589847 AWK589847:AWL589847 BGG589847:BGH589847 BQC589847:BQD589847 BZY589847:BZZ589847 CJU589847:CJV589847 CTQ589847:CTR589847 DDM589847:DDN589847 DNI589847:DNJ589847 DXE589847:DXF589847 EHA589847:EHB589847 EQW589847:EQX589847 FAS589847:FAT589847 FKO589847:FKP589847 FUK589847:FUL589847 GEG589847:GEH589847 GOC589847:GOD589847 GXY589847:GXZ589847 HHU589847:HHV589847 HRQ589847:HRR589847 IBM589847:IBN589847 ILI589847:ILJ589847 IVE589847:IVF589847 JFA589847:JFB589847 JOW589847:JOX589847 JYS589847:JYT589847 KIO589847:KIP589847 KSK589847:KSL589847 LCG589847:LCH589847 LMC589847:LMD589847 LVY589847:LVZ589847 MFU589847:MFV589847 MPQ589847:MPR589847 MZM589847:MZN589847 NJI589847:NJJ589847 NTE589847:NTF589847 ODA589847:ODB589847 OMW589847:OMX589847 OWS589847:OWT589847 PGO589847:PGP589847 PQK589847:PQL589847 QAG589847:QAH589847 QKC589847:QKD589847 QTY589847:QTZ589847 RDU589847:RDV589847 RNQ589847:RNR589847 RXM589847:RXN589847 SHI589847:SHJ589847 SRE589847:SRF589847 TBA589847:TBB589847 TKW589847:TKX589847 TUS589847:TUT589847 UEO589847:UEP589847 UOK589847:UOL589847 UYG589847:UYH589847 VIC589847:VID589847 VRY589847:VRZ589847 WBU589847:WBV589847 WLQ589847:WLR589847 WVM589847:WVN589847 E655383:F655383 JA655383:JB655383 SW655383:SX655383 ACS655383:ACT655383 AMO655383:AMP655383 AWK655383:AWL655383 BGG655383:BGH655383 BQC655383:BQD655383 BZY655383:BZZ655383 CJU655383:CJV655383 CTQ655383:CTR655383 DDM655383:DDN655383 DNI655383:DNJ655383 DXE655383:DXF655383 EHA655383:EHB655383 EQW655383:EQX655383 FAS655383:FAT655383 FKO655383:FKP655383 FUK655383:FUL655383 GEG655383:GEH655383 GOC655383:GOD655383 GXY655383:GXZ655383 HHU655383:HHV655383 HRQ655383:HRR655383 IBM655383:IBN655383 ILI655383:ILJ655383 IVE655383:IVF655383 JFA655383:JFB655383 JOW655383:JOX655383 JYS655383:JYT655383 KIO655383:KIP655383 KSK655383:KSL655383 LCG655383:LCH655383 LMC655383:LMD655383 LVY655383:LVZ655383 MFU655383:MFV655383 MPQ655383:MPR655383 MZM655383:MZN655383 NJI655383:NJJ655383 NTE655383:NTF655383 ODA655383:ODB655383 OMW655383:OMX655383 OWS655383:OWT655383 PGO655383:PGP655383 PQK655383:PQL655383 QAG655383:QAH655383 QKC655383:QKD655383 QTY655383:QTZ655383 RDU655383:RDV655383 RNQ655383:RNR655383 RXM655383:RXN655383 SHI655383:SHJ655383 SRE655383:SRF655383 TBA655383:TBB655383 TKW655383:TKX655383 TUS655383:TUT655383 UEO655383:UEP655383 UOK655383:UOL655383 UYG655383:UYH655383 VIC655383:VID655383 VRY655383:VRZ655383 WBU655383:WBV655383 WLQ655383:WLR655383 WVM655383:WVN655383 E720919:F720919 JA720919:JB720919 SW720919:SX720919 ACS720919:ACT720919 AMO720919:AMP720919 AWK720919:AWL720919 BGG720919:BGH720919 BQC720919:BQD720919 BZY720919:BZZ720919 CJU720919:CJV720919 CTQ720919:CTR720919 DDM720919:DDN720919 DNI720919:DNJ720919 DXE720919:DXF720919 EHA720919:EHB720919 EQW720919:EQX720919 FAS720919:FAT720919 FKO720919:FKP720919 FUK720919:FUL720919 GEG720919:GEH720919 GOC720919:GOD720919 GXY720919:GXZ720919 HHU720919:HHV720919 HRQ720919:HRR720919 IBM720919:IBN720919 ILI720919:ILJ720919 IVE720919:IVF720919 JFA720919:JFB720919 JOW720919:JOX720919 JYS720919:JYT720919 KIO720919:KIP720919 KSK720919:KSL720919 LCG720919:LCH720919 LMC720919:LMD720919 LVY720919:LVZ720919 MFU720919:MFV720919 MPQ720919:MPR720919 MZM720919:MZN720919 NJI720919:NJJ720919 NTE720919:NTF720919 ODA720919:ODB720919 OMW720919:OMX720919 OWS720919:OWT720919 PGO720919:PGP720919 PQK720919:PQL720919 QAG720919:QAH720919 QKC720919:QKD720919 QTY720919:QTZ720919 RDU720919:RDV720919 RNQ720919:RNR720919 RXM720919:RXN720919 SHI720919:SHJ720919 SRE720919:SRF720919 TBA720919:TBB720919 TKW720919:TKX720919 TUS720919:TUT720919 UEO720919:UEP720919 UOK720919:UOL720919 UYG720919:UYH720919 VIC720919:VID720919 VRY720919:VRZ720919 WBU720919:WBV720919 WLQ720919:WLR720919 WVM720919:WVN720919 E786455:F786455 JA786455:JB786455 SW786455:SX786455 ACS786455:ACT786455 AMO786455:AMP786455 AWK786455:AWL786455 BGG786455:BGH786455 BQC786455:BQD786455 BZY786455:BZZ786455 CJU786455:CJV786455 CTQ786455:CTR786455 DDM786455:DDN786455 DNI786455:DNJ786455 DXE786455:DXF786455 EHA786455:EHB786455 EQW786455:EQX786455 FAS786455:FAT786455 FKO786455:FKP786455 FUK786455:FUL786455 GEG786455:GEH786455 GOC786455:GOD786455 GXY786455:GXZ786455 HHU786455:HHV786455 HRQ786455:HRR786455 IBM786455:IBN786455 ILI786455:ILJ786455 IVE786455:IVF786455 JFA786455:JFB786455 JOW786455:JOX786455 JYS786455:JYT786455 KIO786455:KIP786455 KSK786455:KSL786455 LCG786455:LCH786455 LMC786455:LMD786455 LVY786455:LVZ786455 MFU786455:MFV786455 MPQ786455:MPR786455 MZM786455:MZN786455 NJI786455:NJJ786455 NTE786455:NTF786455 ODA786455:ODB786455 OMW786455:OMX786455 OWS786455:OWT786455 PGO786455:PGP786455 PQK786455:PQL786455 QAG786455:QAH786455 QKC786455:QKD786455 QTY786455:QTZ786455 RDU786455:RDV786455 RNQ786455:RNR786455 RXM786455:RXN786455 SHI786455:SHJ786455 SRE786455:SRF786455 TBA786455:TBB786455 TKW786455:TKX786455 TUS786455:TUT786455 UEO786455:UEP786455 UOK786455:UOL786455 UYG786455:UYH786455 VIC786455:VID786455 VRY786455:VRZ786455 WBU786455:WBV786455 WLQ786455:WLR786455 WVM786455:WVN786455 E851991:F851991 JA851991:JB851991 SW851991:SX851991 ACS851991:ACT851991 AMO851991:AMP851991 AWK851991:AWL851991 BGG851991:BGH851991 BQC851991:BQD851991 BZY851991:BZZ851991 CJU851991:CJV851991 CTQ851991:CTR851991 DDM851991:DDN851991 DNI851991:DNJ851991 DXE851991:DXF851991 EHA851991:EHB851991 EQW851991:EQX851991 FAS851991:FAT851991 FKO851991:FKP851991 FUK851991:FUL851991 GEG851991:GEH851991 GOC851991:GOD851991 GXY851991:GXZ851991 HHU851991:HHV851991 HRQ851991:HRR851991 IBM851991:IBN851991 ILI851991:ILJ851991 IVE851991:IVF851991 JFA851991:JFB851991 JOW851991:JOX851991 JYS851991:JYT851991 KIO851991:KIP851991 KSK851991:KSL851991 LCG851991:LCH851991 LMC851991:LMD851991 LVY851991:LVZ851991 MFU851991:MFV851991 MPQ851991:MPR851991 MZM851991:MZN851991 NJI851991:NJJ851991 NTE851991:NTF851991 ODA851991:ODB851991 OMW851991:OMX851991 OWS851991:OWT851991 PGO851991:PGP851991 PQK851991:PQL851991 QAG851991:QAH851991 QKC851991:QKD851991 QTY851991:QTZ851991 RDU851991:RDV851991 RNQ851991:RNR851991 RXM851991:RXN851991 SHI851991:SHJ851991 SRE851991:SRF851991 TBA851991:TBB851991 TKW851991:TKX851991 TUS851991:TUT851991 UEO851991:UEP851991 UOK851991:UOL851991 UYG851991:UYH851991 VIC851991:VID851991 VRY851991:VRZ851991 WBU851991:WBV851991 WLQ851991:WLR851991 WVM851991:WVN851991 E917527:F917527 JA917527:JB917527 SW917527:SX917527 ACS917527:ACT917527 AMO917527:AMP917527 AWK917527:AWL917527 BGG917527:BGH917527 BQC917527:BQD917527 BZY917527:BZZ917527 CJU917527:CJV917527 CTQ917527:CTR917527 DDM917527:DDN917527 DNI917527:DNJ917527 DXE917527:DXF917527 EHA917527:EHB917527 EQW917527:EQX917527 FAS917527:FAT917527 FKO917527:FKP917527 FUK917527:FUL917527 GEG917527:GEH917527 GOC917527:GOD917527 GXY917527:GXZ917527 HHU917527:HHV917527 HRQ917527:HRR917527 IBM917527:IBN917527 ILI917527:ILJ917527 IVE917527:IVF917527 JFA917527:JFB917527 JOW917527:JOX917527 JYS917527:JYT917527 KIO917527:KIP917527 KSK917527:KSL917527 LCG917527:LCH917527 LMC917527:LMD917527 LVY917527:LVZ917527 MFU917527:MFV917527 MPQ917527:MPR917527 MZM917527:MZN917527 NJI917527:NJJ917527 NTE917527:NTF917527 ODA917527:ODB917527 OMW917527:OMX917527 OWS917527:OWT917527 PGO917527:PGP917527 PQK917527:PQL917527 QAG917527:QAH917527 QKC917527:QKD917527 QTY917527:QTZ917527 RDU917527:RDV917527 RNQ917527:RNR917527 RXM917527:RXN917527 SHI917527:SHJ917527 SRE917527:SRF917527 TBA917527:TBB917527 TKW917527:TKX917527 TUS917527:TUT917527 UEO917527:UEP917527 UOK917527:UOL917527 UYG917527:UYH917527 VIC917527:VID917527 VRY917527:VRZ917527 WBU917527:WBV917527 WLQ917527:WLR917527 WVM917527:WVN917527 E983063:F983063 JA983063:JB983063 SW983063:SX983063 ACS983063:ACT983063 AMO983063:AMP983063 AWK983063:AWL983063 BGG983063:BGH983063 BQC983063:BQD983063 BZY983063:BZZ983063 CJU983063:CJV983063 CTQ983063:CTR983063 DDM983063:DDN983063 DNI983063:DNJ983063 DXE983063:DXF983063 EHA983063:EHB983063 EQW983063:EQX983063 FAS983063:FAT983063 FKO983063:FKP983063 FUK983063:FUL983063 GEG983063:GEH983063 GOC983063:GOD983063 GXY983063:GXZ983063 HHU983063:HHV983063 HRQ983063:HRR983063 IBM983063:IBN983063 ILI983063:ILJ983063 IVE983063:IVF983063 JFA983063:JFB983063 JOW983063:JOX983063 JYS983063:JYT983063 KIO983063:KIP983063 KSK983063:KSL983063 LCG983063:LCH983063 LMC983063:LMD983063 LVY983063:LVZ983063 MFU983063:MFV983063 MPQ983063:MPR983063 MZM983063:MZN983063 NJI983063:NJJ983063 NTE983063:NTF983063 ODA983063:ODB983063 OMW983063:OMX983063 OWS983063:OWT983063 PGO983063:PGP983063 PQK983063:PQL983063 QAG983063:QAH983063 QKC983063:QKD983063 QTY983063:QTZ983063 RDU983063:RDV983063 RNQ983063:RNR983063 RXM983063:RXN983063 SHI983063:SHJ983063 SRE983063:SRF983063 TBA983063:TBB983063 TKW983063:TKX983063 TUS983063:TUT983063 UEO983063:UEP983063 UOK983063:UOL983063 UYG983063:UYH983063 VIC983063:VID983063 VRY983063:VRZ983063 WBU983063:WBV983063 WLQ983063:WLR983063 WVM983063:WVN983063">
      <formula1>"Neuf, Existant, Extension"</formula1>
    </dataValidation>
    <dataValidation allowBlank="1" showInputMessage="1" showErrorMessage="1" promptTitle="Attention :" prompt="Cette valeur rentre dans le calcul des consommations._x000a_Bien vérifier les régimes de fonctionnement :_x000a_- Côté source froide à l'entrée de la PAC la température doit rester positive._x000a_- Côté chaud sortie PAC de 35 à 65°C suivant émetteurs ou utilisation."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dataValidation allowBlank="1" showErrorMessage="1"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dataValidation type="list" allowBlank="1" showInputMessage="1" showErrorMessage="1" sqref="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formula1>"Oui,Non"</formula1>
    </dataValidation>
    <dataValidation allowBlank="1" showInputMessage="1" showErrorMessage="1" promptTitle="Préciser le type d'énergie :" prompt="Ballons d'ESC électrique ou couplé à la solution de référence._x000a__x000a_Liste à de choix ci-dessous en D55." sqref="F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dataValidation allowBlank="1" showErrorMessage="1" prompt="La valeur de référence doit être au moins égale à la somme des 3 lignes correspondantes à :_x000a_- la puissance froid mécanique seule,_x000a_- la puissance froid produite en même temps que du chauffage,_x000a_- le free cooling (géo cooling)." sqref="G74 JC74 SY74 ACU74 AMQ74 AWM74 BGI74 BQE74 CAA74 CJW74 CTS74 DDO74 DNK74 DXG74 EHC74 EQY74 FAU74 FKQ74 FUM74 GEI74 GOE74 GYA74 HHW74 HRS74 IBO74 ILK74 IVG74 JFC74 JOY74 JYU74 KIQ74 KSM74 LCI74 LME74 LWA74 MFW74 MPS74 MZO74 NJK74 NTG74 ODC74 OMY74 OWU74 PGQ74 PQM74 QAI74 QKE74 QUA74 RDW74 RNS74 RXO74 SHK74 SRG74 TBC74 TKY74 TUU74 UEQ74 UOM74 UYI74 VIE74 VSA74 WBW74 WLS74 WVO74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dataValidation allowBlank="1" showErrorMessage="1" prompt="Ce montant correspond à la plus value de l'utilisation de froid par l'intermédiaire de la PAC ou des sondes._x000a_" sqref="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E65624 JA65624 SW65624 ACS65624 AMO65624 AWK65624 BGG65624 BQC65624 BZY65624 CJU65624 CTQ65624 DDM65624 DNI65624 DXE65624 EHA65624 EQW65624 FAS65624 FKO65624 FUK65624 GEG65624 GOC65624 GXY65624 HHU65624 HRQ65624 IBM65624 ILI65624 IVE65624 JFA65624 JOW65624 JYS65624 KIO65624 KSK65624 LCG65624 LMC65624 LVY65624 MFU65624 MPQ65624 MZM65624 NJI65624 NTE65624 ODA65624 OMW65624 OWS65624 PGO65624 PQK65624 QAG65624 QKC65624 QTY65624 RDU65624 RNQ65624 RXM65624 SHI65624 SRE65624 TBA65624 TKW65624 TUS65624 UEO65624 UOK65624 UYG65624 VIC65624 VRY65624 WBU65624 WLQ65624 WVM65624 E131160 JA131160 SW131160 ACS131160 AMO131160 AWK131160 BGG131160 BQC131160 BZY131160 CJU131160 CTQ131160 DDM131160 DNI131160 DXE131160 EHA131160 EQW131160 FAS131160 FKO131160 FUK131160 GEG131160 GOC131160 GXY131160 HHU131160 HRQ131160 IBM131160 ILI131160 IVE131160 JFA131160 JOW131160 JYS131160 KIO131160 KSK131160 LCG131160 LMC131160 LVY131160 MFU131160 MPQ131160 MZM131160 NJI131160 NTE131160 ODA131160 OMW131160 OWS131160 PGO131160 PQK131160 QAG131160 QKC131160 QTY131160 RDU131160 RNQ131160 RXM131160 SHI131160 SRE131160 TBA131160 TKW131160 TUS131160 UEO131160 UOK131160 UYG131160 VIC131160 VRY131160 WBU131160 WLQ131160 WVM131160 E196696 JA196696 SW196696 ACS196696 AMO196696 AWK196696 BGG196696 BQC196696 BZY196696 CJU196696 CTQ196696 DDM196696 DNI196696 DXE196696 EHA196696 EQW196696 FAS196696 FKO196696 FUK196696 GEG196696 GOC196696 GXY196696 HHU196696 HRQ196696 IBM196696 ILI196696 IVE196696 JFA196696 JOW196696 JYS196696 KIO196696 KSK196696 LCG196696 LMC196696 LVY196696 MFU196696 MPQ196696 MZM196696 NJI196696 NTE196696 ODA196696 OMW196696 OWS196696 PGO196696 PQK196696 QAG196696 QKC196696 QTY196696 RDU196696 RNQ196696 RXM196696 SHI196696 SRE196696 TBA196696 TKW196696 TUS196696 UEO196696 UOK196696 UYG196696 VIC196696 VRY196696 WBU196696 WLQ196696 WVM196696 E262232 JA262232 SW262232 ACS262232 AMO262232 AWK262232 BGG262232 BQC262232 BZY262232 CJU262232 CTQ262232 DDM262232 DNI262232 DXE262232 EHA262232 EQW262232 FAS262232 FKO262232 FUK262232 GEG262232 GOC262232 GXY262232 HHU262232 HRQ262232 IBM262232 ILI262232 IVE262232 JFA262232 JOW262232 JYS262232 KIO262232 KSK262232 LCG262232 LMC262232 LVY262232 MFU262232 MPQ262232 MZM262232 NJI262232 NTE262232 ODA262232 OMW262232 OWS262232 PGO262232 PQK262232 QAG262232 QKC262232 QTY262232 RDU262232 RNQ262232 RXM262232 SHI262232 SRE262232 TBA262232 TKW262232 TUS262232 UEO262232 UOK262232 UYG262232 VIC262232 VRY262232 WBU262232 WLQ262232 WVM262232 E327768 JA327768 SW327768 ACS327768 AMO327768 AWK327768 BGG327768 BQC327768 BZY327768 CJU327768 CTQ327768 DDM327768 DNI327768 DXE327768 EHA327768 EQW327768 FAS327768 FKO327768 FUK327768 GEG327768 GOC327768 GXY327768 HHU327768 HRQ327768 IBM327768 ILI327768 IVE327768 JFA327768 JOW327768 JYS327768 KIO327768 KSK327768 LCG327768 LMC327768 LVY327768 MFU327768 MPQ327768 MZM327768 NJI327768 NTE327768 ODA327768 OMW327768 OWS327768 PGO327768 PQK327768 QAG327768 QKC327768 QTY327768 RDU327768 RNQ327768 RXM327768 SHI327768 SRE327768 TBA327768 TKW327768 TUS327768 UEO327768 UOK327768 UYG327768 VIC327768 VRY327768 WBU327768 WLQ327768 WVM327768 E393304 JA393304 SW393304 ACS393304 AMO393304 AWK393304 BGG393304 BQC393304 BZY393304 CJU393304 CTQ393304 DDM393304 DNI393304 DXE393304 EHA393304 EQW393304 FAS393304 FKO393304 FUK393304 GEG393304 GOC393304 GXY393304 HHU393304 HRQ393304 IBM393304 ILI393304 IVE393304 JFA393304 JOW393304 JYS393304 KIO393304 KSK393304 LCG393304 LMC393304 LVY393304 MFU393304 MPQ393304 MZM393304 NJI393304 NTE393304 ODA393304 OMW393304 OWS393304 PGO393304 PQK393304 QAG393304 QKC393304 QTY393304 RDU393304 RNQ393304 RXM393304 SHI393304 SRE393304 TBA393304 TKW393304 TUS393304 UEO393304 UOK393304 UYG393304 VIC393304 VRY393304 WBU393304 WLQ393304 WVM393304 E458840 JA458840 SW458840 ACS458840 AMO458840 AWK458840 BGG458840 BQC458840 BZY458840 CJU458840 CTQ458840 DDM458840 DNI458840 DXE458840 EHA458840 EQW458840 FAS458840 FKO458840 FUK458840 GEG458840 GOC458840 GXY458840 HHU458840 HRQ458840 IBM458840 ILI458840 IVE458840 JFA458840 JOW458840 JYS458840 KIO458840 KSK458840 LCG458840 LMC458840 LVY458840 MFU458840 MPQ458840 MZM458840 NJI458840 NTE458840 ODA458840 OMW458840 OWS458840 PGO458840 PQK458840 QAG458840 QKC458840 QTY458840 RDU458840 RNQ458840 RXM458840 SHI458840 SRE458840 TBA458840 TKW458840 TUS458840 UEO458840 UOK458840 UYG458840 VIC458840 VRY458840 WBU458840 WLQ458840 WVM458840 E524376 JA524376 SW524376 ACS524376 AMO524376 AWK524376 BGG524376 BQC524376 BZY524376 CJU524376 CTQ524376 DDM524376 DNI524376 DXE524376 EHA524376 EQW524376 FAS524376 FKO524376 FUK524376 GEG524376 GOC524376 GXY524376 HHU524376 HRQ524376 IBM524376 ILI524376 IVE524376 JFA524376 JOW524376 JYS524376 KIO524376 KSK524376 LCG524376 LMC524376 LVY524376 MFU524376 MPQ524376 MZM524376 NJI524376 NTE524376 ODA524376 OMW524376 OWS524376 PGO524376 PQK524376 QAG524376 QKC524376 QTY524376 RDU524376 RNQ524376 RXM524376 SHI524376 SRE524376 TBA524376 TKW524376 TUS524376 UEO524376 UOK524376 UYG524376 VIC524376 VRY524376 WBU524376 WLQ524376 WVM524376 E589912 JA589912 SW589912 ACS589912 AMO589912 AWK589912 BGG589912 BQC589912 BZY589912 CJU589912 CTQ589912 DDM589912 DNI589912 DXE589912 EHA589912 EQW589912 FAS589912 FKO589912 FUK589912 GEG589912 GOC589912 GXY589912 HHU589912 HRQ589912 IBM589912 ILI589912 IVE589912 JFA589912 JOW589912 JYS589912 KIO589912 KSK589912 LCG589912 LMC589912 LVY589912 MFU589912 MPQ589912 MZM589912 NJI589912 NTE589912 ODA589912 OMW589912 OWS589912 PGO589912 PQK589912 QAG589912 QKC589912 QTY589912 RDU589912 RNQ589912 RXM589912 SHI589912 SRE589912 TBA589912 TKW589912 TUS589912 UEO589912 UOK589912 UYG589912 VIC589912 VRY589912 WBU589912 WLQ589912 WVM589912 E655448 JA655448 SW655448 ACS655448 AMO655448 AWK655448 BGG655448 BQC655448 BZY655448 CJU655448 CTQ655448 DDM655448 DNI655448 DXE655448 EHA655448 EQW655448 FAS655448 FKO655448 FUK655448 GEG655448 GOC655448 GXY655448 HHU655448 HRQ655448 IBM655448 ILI655448 IVE655448 JFA655448 JOW655448 JYS655448 KIO655448 KSK655448 LCG655448 LMC655448 LVY655448 MFU655448 MPQ655448 MZM655448 NJI655448 NTE655448 ODA655448 OMW655448 OWS655448 PGO655448 PQK655448 QAG655448 QKC655448 QTY655448 RDU655448 RNQ655448 RXM655448 SHI655448 SRE655448 TBA655448 TKW655448 TUS655448 UEO655448 UOK655448 UYG655448 VIC655448 VRY655448 WBU655448 WLQ655448 WVM655448 E720984 JA720984 SW720984 ACS720984 AMO720984 AWK720984 BGG720984 BQC720984 BZY720984 CJU720984 CTQ720984 DDM720984 DNI720984 DXE720984 EHA720984 EQW720984 FAS720984 FKO720984 FUK720984 GEG720984 GOC720984 GXY720984 HHU720984 HRQ720984 IBM720984 ILI720984 IVE720984 JFA720984 JOW720984 JYS720984 KIO720984 KSK720984 LCG720984 LMC720984 LVY720984 MFU720984 MPQ720984 MZM720984 NJI720984 NTE720984 ODA720984 OMW720984 OWS720984 PGO720984 PQK720984 QAG720984 QKC720984 QTY720984 RDU720984 RNQ720984 RXM720984 SHI720984 SRE720984 TBA720984 TKW720984 TUS720984 UEO720984 UOK720984 UYG720984 VIC720984 VRY720984 WBU720984 WLQ720984 WVM720984 E786520 JA786520 SW786520 ACS786520 AMO786520 AWK786520 BGG786520 BQC786520 BZY786520 CJU786520 CTQ786520 DDM786520 DNI786520 DXE786520 EHA786520 EQW786520 FAS786520 FKO786520 FUK786520 GEG786520 GOC786520 GXY786520 HHU786520 HRQ786520 IBM786520 ILI786520 IVE786520 JFA786520 JOW786520 JYS786520 KIO786520 KSK786520 LCG786520 LMC786520 LVY786520 MFU786520 MPQ786520 MZM786520 NJI786520 NTE786520 ODA786520 OMW786520 OWS786520 PGO786520 PQK786520 QAG786520 QKC786520 QTY786520 RDU786520 RNQ786520 RXM786520 SHI786520 SRE786520 TBA786520 TKW786520 TUS786520 UEO786520 UOK786520 UYG786520 VIC786520 VRY786520 WBU786520 WLQ786520 WVM786520 E852056 JA852056 SW852056 ACS852056 AMO852056 AWK852056 BGG852056 BQC852056 BZY852056 CJU852056 CTQ852056 DDM852056 DNI852056 DXE852056 EHA852056 EQW852056 FAS852056 FKO852056 FUK852056 GEG852056 GOC852056 GXY852056 HHU852056 HRQ852056 IBM852056 ILI852056 IVE852056 JFA852056 JOW852056 JYS852056 KIO852056 KSK852056 LCG852056 LMC852056 LVY852056 MFU852056 MPQ852056 MZM852056 NJI852056 NTE852056 ODA852056 OMW852056 OWS852056 PGO852056 PQK852056 QAG852056 QKC852056 QTY852056 RDU852056 RNQ852056 RXM852056 SHI852056 SRE852056 TBA852056 TKW852056 TUS852056 UEO852056 UOK852056 UYG852056 VIC852056 VRY852056 WBU852056 WLQ852056 WVM852056 E917592 JA917592 SW917592 ACS917592 AMO917592 AWK917592 BGG917592 BQC917592 BZY917592 CJU917592 CTQ917592 DDM917592 DNI917592 DXE917592 EHA917592 EQW917592 FAS917592 FKO917592 FUK917592 GEG917592 GOC917592 GXY917592 HHU917592 HRQ917592 IBM917592 ILI917592 IVE917592 JFA917592 JOW917592 JYS917592 KIO917592 KSK917592 LCG917592 LMC917592 LVY917592 MFU917592 MPQ917592 MZM917592 NJI917592 NTE917592 ODA917592 OMW917592 OWS917592 PGO917592 PQK917592 QAG917592 QKC917592 QTY917592 RDU917592 RNQ917592 RXM917592 SHI917592 SRE917592 TBA917592 TKW917592 TUS917592 UEO917592 UOK917592 UYG917592 VIC917592 VRY917592 WBU917592 WLQ917592 WVM917592 E983128 JA983128 SW983128 ACS983128 AMO983128 AWK983128 BGG983128 BQC983128 BZY983128 CJU983128 CTQ983128 DDM983128 DNI983128 DXE983128 EHA983128 EQW983128 FAS983128 FKO983128 FUK983128 GEG983128 GOC983128 GXY983128 HHU983128 HRQ983128 IBM983128 ILI983128 IVE983128 JFA983128 JOW983128 JYS983128 KIO983128 KSK983128 LCG983128 LMC983128 LVY983128 MFU983128 MPQ983128 MZM983128 NJI983128 NTE983128 ODA983128 OMW983128 OWS983128 PGO983128 PQK983128 QAG983128 QKC983128 QTY983128 RDU983128 RNQ983128 RXM983128 SHI983128 SRE983128 TBA983128 TKW983128 TUS983128 UEO983128 UOK983128 UYG983128 VIC983128 VRY983128 WBU983128 WLQ983128 WVM983128"/>
    <dataValidation allowBlank="1" showErrorMessage="1" promptTitle="En règle générale :" prompt="le montant d'un groupe froid, de climatisations autonomes ou d'autres solutions de production de froid coûte plus cher que la modification hydraulique pour l'emploi de la PAC en chaud et froid simultané ou pour le géocooling." sqref="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G65624 JC65624 SY65624 ACU65624 AMQ65624 AWM65624 BGI65624 BQE65624 CAA65624 CJW65624 CTS65624 DDO65624 DNK65624 DXG65624 EHC65624 EQY65624 FAU65624 FKQ65624 FUM65624 GEI65624 GOE65624 GYA65624 HHW65624 HRS65624 IBO65624 ILK65624 IVG65624 JFC65624 JOY65624 JYU65624 KIQ65624 KSM65624 LCI65624 LME65624 LWA65624 MFW65624 MPS65624 MZO65624 NJK65624 NTG65624 ODC65624 OMY65624 OWU65624 PGQ65624 PQM65624 QAI65624 QKE65624 QUA65624 RDW65624 RNS65624 RXO65624 SHK65624 SRG65624 TBC65624 TKY65624 TUU65624 UEQ65624 UOM65624 UYI65624 VIE65624 VSA65624 WBW65624 WLS65624 WVO65624 G131160 JC131160 SY131160 ACU131160 AMQ131160 AWM131160 BGI131160 BQE131160 CAA131160 CJW131160 CTS131160 DDO131160 DNK131160 DXG131160 EHC131160 EQY131160 FAU131160 FKQ131160 FUM131160 GEI131160 GOE131160 GYA131160 HHW131160 HRS131160 IBO131160 ILK131160 IVG131160 JFC131160 JOY131160 JYU131160 KIQ131160 KSM131160 LCI131160 LME131160 LWA131160 MFW131160 MPS131160 MZO131160 NJK131160 NTG131160 ODC131160 OMY131160 OWU131160 PGQ131160 PQM131160 QAI131160 QKE131160 QUA131160 RDW131160 RNS131160 RXO131160 SHK131160 SRG131160 TBC131160 TKY131160 TUU131160 UEQ131160 UOM131160 UYI131160 VIE131160 VSA131160 WBW131160 WLS131160 WVO131160 G196696 JC196696 SY196696 ACU196696 AMQ196696 AWM196696 BGI196696 BQE196696 CAA196696 CJW196696 CTS196696 DDO196696 DNK196696 DXG196696 EHC196696 EQY196696 FAU196696 FKQ196696 FUM196696 GEI196696 GOE196696 GYA196696 HHW196696 HRS196696 IBO196696 ILK196696 IVG196696 JFC196696 JOY196696 JYU196696 KIQ196696 KSM196696 LCI196696 LME196696 LWA196696 MFW196696 MPS196696 MZO196696 NJK196696 NTG196696 ODC196696 OMY196696 OWU196696 PGQ196696 PQM196696 QAI196696 QKE196696 QUA196696 RDW196696 RNS196696 RXO196696 SHK196696 SRG196696 TBC196696 TKY196696 TUU196696 UEQ196696 UOM196696 UYI196696 VIE196696 VSA196696 WBW196696 WLS196696 WVO196696 G262232 JC262232 SY262232 ACU262232 AMQ262232 AWM262232 BGI262232 BQE262232 CAA262232 CJW262232 CTS262232 DDO262232 DNK262232 DXG262232 EHC262232 EQY262232 FAU262232 FKQ262232 FUM262232 GEI262232 GOE262232 GYA262232 HHW262232 HRS262232 IBO262232 ILK262232 IVG262232 JFC262232 JOY262232 JYU262232 KIQ262232 KSM262232 LCI262232 LME262232 LWA262232 MFW262232 MPS262232 MZO262232 NJK262232 NTG262232 ODC262232 OMY262232 OWU262232 PGQ262232 PQM262232 QAI262232 QKE262232 QUA262232 RDW262232 RNS262232 RXO262232 SHK262232 SRG262232 TBC262232 TKY262232 TUU262232 UEQ262232 UOM262232 UYI262232 VIE262232 VSA262232 WBW262232 WLS262232 WVO262232 G327768 JC327768 SY327768 ACU327768 AMQ327768 AWM327768 BGI327768 BQE327768 CAA327768 CJW327768 CTS327768 DDO327768 DNK327768 DXG327768 EHC327768 EQY327768 FAU327768 FKQ327768 FUM327768 GEI327768 GOE327768 GYA327768 HHW327768 HRS327768 IBO327768 ILK327768 IVG327768 JFC327768 JOY327768 JYU327768 KIQ327768 KSM327768 LCI327768 LME327768 LWA327768 MFW327768 MPS327768 MZO327768 NJK327768 NTG327768 ODC327768 OMY327768 OWU327768 PGQ327768 PQM327768 QAI327768 QKE327768 QUA327768 RDW327768 RNS327768 RXO327768 SHK327768 SRG327768 TBC327768 TKY327768 TUU327768 UEQ327768 UOM327768 UYI327768 VIE327768 VSA327768 WBW327768 WLS327768 WVO327768 G393304 JC393304 SY393304 ACU393304 AMQ393304 AWM393304 BGI393304 BQE393304 CAA393304 CJW393304 CTS393304 DDO393304 DNK393304 DXG393304 EHC393304 EQY393304 FAU393304 FKQ393304 FUM393304 GEI393304 GOE393304 GYA393304 HHW393304 HRS393304 IBO393304 ILK393304 IVG393304 JFC393304 JOY393304 JYU393304 KIQ393304 KSM393304 LCI393304 LME393304 LWA393304 MFW393304 MPS393304 MZO393304 NJK393304 NTG393304 ODC393304 OMY393304 OWU393304 PGQ393304 PQM393304 QAI393304 QKE393304 QUA393304 RDW393304 RNS393304 RXO393304 SHK393304 SRG393304 TBC393304 TKY393304 TUU393304 UEQ393304 UOM393304 UYI393304 VIE393304 VSA393304 WBW393304 WLS393304 WVO393304 G458840 JC458840 SY458840 ACU458840 AMQ458840 AWM458840 BGI458840 BQE458840 CAA458840 CJW458840 CTS458840 DDO458840 DNK458840 DXG458840 EHC458840 EQY458840 FAU458840 FKQ458840 FUM458840 GEI458840 GOE458840 GYA458840 HHW458840 HRS458840 IBO458840 ILK458840 IVG458840 JFC458840 JOY458840 JYU458840 KIQ458840 KSM458840 LCI458840 LME458840 LWA458840 MFW458840 MPS458840 MZO458840 NJK458840 NTG458840 ODC458840 OMY458840 OWU458840 PGQ458840 PQM458840 QAI458840 QKE458840 QUA458840 RDW458840 RNS458840 RXO458840 SHK458840 SRG458840 TBC458840 TKY458840 TUU458840 UEQ458840 UOM458840 UYI458840 VIE458840 VSA458840 WBW458840 WLS458840 WVO458840 G524376 JC524376 SY524376 ACU524376 AMQ524376 AWM524376 BGI524376 BQE524376 CAA524376 CJW524376 CTS524376 DDO524376 DNK524376 DXG524376 EHC524376 EQY524376 FAU524376 FKQ524376 FUM524376 GEI524376 GOE524376 GYA524376 HHW524376 HRS524376 IBO524376 ILK524376 IVG524376 JFC524376 JOY524376 JYU524376 KIQ524376 KSM524376 LCI524376 LME524376 LWA524376 MFW524376 MPS524376 MZO524376 NJK524376 NTG524376 ODC524376 OMY524376 OWU524376 PGQ524376 PQM524376 QAI524376 QKE524376 QUA524376 RDW524376 RNS524376 RXO524376 SHK524376 SRG524376 TBC524376 TKY524376 TUU524376 UEQ524376 UOM524376 UYI524376 VIE524376 VSA524376 WBW524376 WLS524376 WVO524376 G589912 JC589912 SY589912 ACU589912 AMQ589912 AWM589912 BGI589912 BQE589912 CAA589912 CJW589912 CTS589912 DDO589912 DNK589912 DXG589912 EHC589912 EQY589912 FAU589912 FKQ589912 FUM589912 GEI589912 GOE589912 GYA589912 HHW589912 HRS589912 IBO589912 ILK589912 IVG589912 JFC589912 JOY589912 JYU589912 KIQ589912 KSM589912 LCI589912 LME589912 LWA589912 MFW589912 MPS589912 MZO589912 NJK589912 NTG589912 ODC589912 OMY589912 OWU589912 PGQ589912 PQM589912 QAI589912 QKE589912 QUA589912 RDW589912 RNS589912 RXO589912 SHK589912 SRG589912 TBC589912 TKY589912 TUU589912 UEQ589912 UOM589912 UYI589912 VIE589912 VSA589912 WBW589912 WLS589912 WVO589912 G655448 JC655448 SY655448 ACU655448 AMQ655448 AWM655448 BGI655448 BQE655448 CAA655448 CJW655448 CTS655448 DDO655448 DNK655448 DXG655448 EHC655448 EQY655448 FAU655448 FKQ655448 FUM655448 GEI655448 GOE655448 GYA655448 HHW655448 HRS655448 IBO655448 ILK655448 IVG655448 JFC655448 JOY655448 JYU655448 KIQ655448 KSM655448 LCI655448 LME655448 LWA655448 MFW655448 MPS655448 MZO655448 NJK655448 NTG655448 ODC655448 OMY655448 OWU655448 PGQ655448 PQM655448 QAI655448 QKE655448 QUA655448 RDW655448 RNS655448 RXO655448 SHK655448 SRG655448 TBC655448 TKY655448 TUU655448 UEQ655448 UOM655448 UYI655448 VIE655448 VSA655448 WBW655448 WLS655448 WVO655448 G720984 JC720984 SY720984 ACU720984 AMQ720984 AWM720984 BGI720984 BQE720984 CAA720984 CJW720984 CTS720984 DDO720984 DNK720984 DXG720984 EHC720984 EQY720984 FAU720984 FKQ720984 FUM720984 GEI720984 GOE720984 GYA720984 HHW720984 HRS720984 IBO720984 ILK720984 IVG720984 JFC720984 JOY720984 JYU720984 KIQ720984 KSM720984 LCI720984 LME720984 LWA720984 MFW720984 MPS720984 MZO720984 NJK720984 NTG720984 ODC720984 OMY720984 OWU720984 PGQ720984 PQM720984 QAI720984 QKE720984 QUA720984 RDW720984 RNS720984 RXO720984 SHK720984 SRG720984 TBC720984 TKY720984 TUU720984 UEQ720984 UOM720984 UYI720984 VIE720984 VSA720984 WBW720984 WLS720984 WVO720984 G786520 JC786520 SY786520 ACU786520 AMQ786520 AWM786520 BGI786520 BQE786520 CAA786520 CJW786520 CTS786520 DDO786520 DNK786520 DXG786520 EHC786520 EQY786520 FAU786520 FKQ786520 FUM786520 GEI786520 GOE786520 GYA786520 HHW786520 HRS786520 IBO786520 ILK786520 IVG786520 JFC786520 JOY786520 JYU786520 KIQ786520 KSM786520 LCI786520 LME786520 LWA786520 MFW786520 MPS786520 MZO786520 NJK786520 NTG786520 ODC786520 OMY786520 OWU786520 PGQ786520 PQM786520 QAI786520 QKE786520 QUA786520 RDW786520 RNS786520 RXO786520 SHK786520 SRG786520 TBC786520 TKY786520 TUU786520 UEQ786520 UOM786520 UYI786520 VIE786520 VSA786520 WBW786520 WLS786520 WVO786520 G852056 JC852056 SY852056 ACU852056 AMQ852056 AWM852056 BGI852056 BQE852056 CAA852056 CJW852056 CTS852056 DDO852056 DNK852056 DXG852056 EHC852056 EQY852056 FAU852056 FKQ852056 FUM852056 GEI852056 GOE852056 GYA852056 HHW852056 HRS852056 IBO852056 ILK852056 IVG852056 JFC852056 JOY852056 JYU852056 KIQ852056 KSM852056 LCI852056 LME852056 LWA852056 MFW852056 MPS852056 MZO852056 NJK852056 NTG852056 ODC852056 OMY852056 OWU852056 PGQ852056 PQM852056 QAI852056 QKE852056 QUA852056 RDW852056 RNS852056 RXO852056 SHK852056 SRG852056 TBC852056 TKY852056 TUU852056 UEQ852056 UOM852056 UYI852056 VIE852056 VSA852056 WBW852056 WLS852056 WVO852056 G917592 JC917592 SY917592 ACU917592 AMQ917592 AWM917592 BGI917592 BQE917592 CAA917592 CJW917592 CTS917592 DDO917592 DNK917592 DXG917592 EHC917592 EQY917592 FAU917592 FKQ917592 FUM917592 GEI917592 GOE917592 GYA917592 HHW917592 HRS917592 IBO917592 ILK917592 IVG917592 JFC917592 JOY917592 JYU917592 KIQ917592 KSM917592 LCI917592 LME917592 LWA917592 MFW917592 MPS917592 MZO917592 NJK917592 NTG917592 ODC917592 OMY917592 OWU917592 PGQ917592 PQM917592 QAI917592 QKE917592 QUA917592 RDW917592 RNS917592 RXO917592 SHK917592 SRG917592 TBC917592 TKY917592 TUU917592 UEQ917592 UOM917592 UYI917592 VIE917592 VSA917592 WBW917592 WLS917592 WVO917592 G983128 JC983128 SY983128 ACU983128 AMQ983128 AWM983128 BGI983128 BQE983128 CAA983128 CJW983128 CTS983128 DDO983128 DNK983128 DXG983128 EHC983128 EQY983128 FAU983128 FKQ983128 FUM983128 GEI983128 GOE983128 GYA983128 HHW983128 HRS983128 IBO983128 ILK983128 IVG983128 JFC983128 JOY983128 JYU983128 KIQ983128 KSM983128 LCI983128 LME983128 LWA983128 MFW983128 MPS983128 MZO983128 NJK983128 NTG983128 ODC983128 OMY983128 OWU983128 PGQ983128 PQM983128 QAI983128 QKE983128 QUA983128 RDW983128 RNS983128 RXO983128 SHK983128 SRG983128 TBC983128 TKY983128 TUU983128 UEQ983128 UOM983128 UYI983128 VIE983128 VSA983128 WBW983128 WLS983128 WVO983128"/>
    <dataValidation allowBlank="1" showInputMessage="1" showErrorMessage="1" promptTitle="Attention :" prompt="Habituellement, le rendement d'une chaudière principale est meilleur que celle d’appoint."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s>
  <pageMargins left="0.19685039370078741" right="0.19685039370078741" top="0.39370078740157483" bottom="0.39370078740157483" header="0" footer="0"/>
  <pageSetup paperSize="9" scale="62" fitToHeight="2"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B2:B32"/>
  <sheetViews>
    <sheetView workbookViewId="0">
      <selection activeCell="G11" sqref="G11"/>
    </sheetView>
  </sheetViews>
  <sheetFormatPr defaultColWidth="11.5546875" defaultRowHeight="14.4"/>
  <cols>
    <col min="2" max="2" width="11.44140625" style="551"/>
  </cols>
  <sheetData>
    <row r="2" spans="2:2">
      <c r="B2" s="550" t="s">
        <v>600</v>
      </c>
    </row>
    <row r="3" spans="2:2" ht="15.75" customHeight="1">
      <c r="B3" s="549" t="s">
        <v>601</v>
      </c>
    </row>
    <row r="4" spans="2:2">
      <c r="B4" s="549" t="s">
        <v>602</v>
      </c>
    </row>
    <row r="5" spans="2:2">
      <c r="B5" s="549" t="s">
        <v>603</v>
      </c>
    </row>
    <row r="6" spans="2:2">
      <c r="B6" s="549"/>
    </row>
    <row r="7" spans="2:2">
      <c r="B7" s="550" t="s">
        <v>604</v>
      </c>
    </row>
    <row r="8" spans="2:2">
      <c r="B8" s="549" t="s">
        <v>605</v>
      </c>
    </row>
    <row r="9" spans="2:2">
      <c r="B9" s="549"/>
    </row>
    <row r="10" spans="2:2">
      <c r="B10" s="550" t="s">
        <v>606</v>
      </c>
    </row>
    <row r="11" spans="2:2">
      <c r="B11" s="549" t="s">
        <v>607</v>
      </c>
    </row>
    <row r="12" spans="2:2">
      <c r="B12" s="549"/>
    </row>
    <row r="13" spans="2:2">
      <c r="B13" s="550" t="s">
        <v>608</v>
      </c>
    </row>
    <row r="14" spans="2:2">
      <c r="B14" s="549" t="s">
        <v>609</v>
      </c>
    </row>
    <row r="15" spans="2:2">
      <c r="B15" s="549"/>
    </row>
    <row r="16" spans="2:2">
      <c r="B16" s="550" t="s">
        <v>610</v>
      </c>
    </row>
    <row r="17" spans="2:2">
      <c r="B17" s="549" t="s">
        <v>611</v>
      </c>
    </row>
    <row r="18" spans="2:2">
      <c r="B18" s="549"/>
    </row>
    <row r="19" spans="2:2">
      <c r="B19" s="550" t="s">
        <v>612</v>
      </c>
    </row>
    <row r="20" spans="2:2">
      <c r="B20" s="549" t="s">
        <v>613</v>
      </c>
    </row>
    <row r="21" spans="2:2">
      <c r="B21" s="549"/>
    </row>
    <row r="22" spans="2:2">
      <c r="B22" s="550" t="s">
        <v>614</v>
      </c>
    </row>
    <row r="23" spans="2:2">
      <c r="B23" s="549" t="s">
        <v>615</v>
      </c>
    </row>
    <row r="24" spans="2:2">
      <c r="B24" s="549"/>
    </row>
    <row r="25" spans="2:2">
      <c r="B25" s="550" t="s">
        <v>616</v>
      </c>
    </row>
    <row r="26" spans="2:2">
      <c r="B26" s="549" t="s">
        <v>617</v>
      </c>
    </row>
    <row r="27" spans="2:2">
      <c r="B27" s="549"/>
    </row>
    <row r="28" spans="2:2">
      <c r="B28" s="550" t="s">
        <v>618</v>
      </c>
    </row>
    <row r="29" spans="2:2">
      <c r="B29" s="549" t="s">
        <v>619</v>
      </c>
    </row>
    <row r="30" spans="2:2">
      <c r="B30" s="549"/>
    </row>
    <row r="31" spans="2:2">
      <c r="B31" s="550" t="s">
        <v>620</v>
      </c>
    </row>
    <row r="32" spans="2:2">
      <c r="B32" s="549" t="s">
        <v>621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AV58"/>
  <sheetViews>
    <sheetView showGridLines="0" topLeftCell="A10" zoomScale="80" zoomScaleNormal="80" workbookViewId="0">
      <selection activeCell="D5" sqref="D5:G5"/>
    </sheetView>
  </sheetViews>
  <sheetFormatPr defaultColWidth="11.44140625" defaultRowHeight="13.2"/>
  <cols>
    <col min="1" max="1" width="2.44140625" style="113" customWidth="1"/>
    <col min="2" max="2" width="7.5546875" style="113" customWidth="1"/>
    <col min="3" max="3" width="2" style="113" customWidth="1"/>
    <col min="4" max="4" width="21.44140625" style="113" customWidth="1"/>
    <col min="5" max="5" width="59.5546875" style="113" customWidth="1"/>
    <col min="6" max="6" width="22.88671875" style="113" customWidth="1"/>
    <col min="7" max="7" width="10" style="113" customWidth="1"/>
    <col min="8" max="8" width="11.44140625" style="113"/>
    <col min="9" max="9" width="42.88671875" style="113" bestFit="1" customWidth="1"/>
    <col min="10" max="10" width="1.5546875" style="113" customWidth="1"/>
    <col min="11" max="11" width="41.5546875" style="113" customWidth="1"/>
    <col min="12" max="12" width="1.5546875" style="113" customWidth="1"/>
    <col min="13" max="13" width="27.109375" style="113" bestFit="1" customWidth="1"/>
    <col min="14" max="14" width="1.5546875" style="115" customWidth="1"/>
    <col min="15" max="15" width="26" style="113" bestFit="1" customWidth="1"/>
    <col min="16" max="16" width="2.44140625" style="113" customWidth="1"/>
    <col min="17" max="17" width="30" style="113" bestFit="1" customWidth="1"/>
    <col min="18" max="18" width="1.5546875" style="113" customWidth="1"/>
    <col min="19" max="19" width="19.44140625" style="113" customWidth="1"/>
    <col min="20" max="20" width="1.5546875" style="113" customWidth="1"/>
    <col min="21" max="21" width="19.44140625" style="113" customWidth="1"/>
    <col min="22" max="22" width="2.5546875" style="113" customWidth="1"/>
    <col min="23" max="23" width="18.88671875" style="113" customWidth="1"/>
    <col min="24" max="24" width="1.5546875" style="113" customWidth="1"/>
    <col min="25" max="25" width="27.44140625" style="113" customWidth="1"/>
    <col min="26" max="26" width="2.109375" style="113" customWidth="1"/>
    <col min="27" max="27" width="11.44140625" style="113"/>
    <col min="28" max="28" width="1.44140625" style="113" customWidth="1"/>
    <col min="29" max="29" width="19" style="113" customWidth="1"/>
    <col min="30" max="30" width="1.88671875" style="113" customWidth="1"/>
    <col min="31" max="31" width="19.5546875" style="113" customWidth="1"/>
    <col min="32" max="32" width="1.5546875" style="113" customWidth="1"/>
    <col min="33" max="33" width="38.44140625" style="113" bestFit="1" customWidth="1"/>
    <col min="34" max="34" width="1" style="113" customWidth="1"/>
    <col min="35" max="35" width="13.88671875" style="113" bestFit="1" customWidth="1"/>
    <col min="36" max="36" width="1" style="113" customWidth="1"/>
    <col min="37" max="37" width="20.88671875" style="113" customWidth="1"/>
    <col min="38" max="38" width="1" style="113" customWidth="1"/>
    <col min="39" max="39" width="24.44140625" style="113" customWidth="1"/>
    <col min="40" max="40" width="1" style="113" customWidth="1"/>
    <col min="41" max="41" width="19.5546875" style="113" customWidth="1"/>
    <col min="42" max="42" width="1" style="113" customWidth="1"/>
    <col min="43" max="43" width="18" style="113" customWidth="1"/>
    <col min="44" max="44" width="1" style="113" customWidth="1"/>
    <col min="45" max="45" width="18.44140625" style="113" customWidth="1"/>
    <col min="46" max="46" width="1.44140625" style="113" customWidth="1"/>
    <col min="47" max="47" width="13.88671875" style="113" customWidth="1"/>
    <col min="48" max="48" width="11.109375" style="113" customWidth="1"/>
    <col min="49" max="49" width="26.5546875" style="113" customWidth="1"/>
    <col min="50" max="16384" width="11.44140625" style="113"/>
  </cols>
  <sheetData>
    <row r="1" spans="1:48" ht="37.5" customHeight="1">
      <c r="D1" s="64" t="s">
        <v>331</v>
      </c>
      <c r="E1" s="64"/>
      <c r="F1" s="64"/>
      <c r="G1" s="64"/>
      <c r="H1" s="114"/>
      <c r="I1" s="114"/>
      <c r="J1" s="114"/>
      <c r="K1" s="114"/>
      <c r="L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row>
    <row r="2" spans="1:48" ht="12.75" customHeight="1">
      <c r="D2" s="116"/>
      <c r="E2" s="116"/>
      <c r="F2" s="117"/>
      <c r="G2" s="116"/>
    </row>
    <row r="3" spans="1:48" ht="24.75" customHeight="1">
      <c r="A3" s="204"/>
      <c r="D3" s="203" t="s">
        <v>224</v>
      </c>
      <c r="E3" s="163"/>
      <c r="F3" s="163"/>
      <c r="G3" s="163"/>
      <c r="M3" s="3140" t="s">
        <v>225</v>
      </c>
      <c r="N3" s="3140"/>
      <c r="O3" s="3140"/>
      <c r="P3" s="3140"/>
      <c r="Q3" s="3140"/>
      <c r="R3" s="3140"/>
      <c r="S3" s="3140"/>
      <c r="T3" s="3140"/>
      <c r="U3" s="3140"/>
      <c r="V3" s="3140"/>
      <c r="W3" s="3140"/>
      <c r="X3" s="3140"/>
      <c r="Y3" s="3140"/>
      <c r="Z3" s="3140"/>
      <c r="AA3" s="3140"/>
      <c r="AB3" s="3140"/>
      <c r="AC3" s="3140"/>
      <c r="AD3" s="3140"/>
      <c r="AE3" s="3140"/>
      <c r="AF3" s="3140"/>
      <c r="AG3" s="3140"/>
      <c r="AH3" s="3140"/>
      <c r="AI3" s="3140"/>
      <c r="AJ3" s="3140"/>
      <c r="AK3" s="3140"/>
      <c r="AL3" s="3140"/>
      <c r="AM3" s="3140"/>
      <c r="AN3" s="3140"/>
      <c r="AO3" s="3140"/>
      <c r="AP3" s="3140"/>
      <c r="AQ3" s="3140"/>
      <c r="AR3" s="3140"/>
      <c r="AS3" s="3140"/>
    </row>
    <row r="4" spans="1:48">
      <c r="D4" s="118"/>
      <c r="E4" s="116"/>
      <c r="F4" s="117"/>
      <c r="G4" s="116"/>
      <c r="N4" s="113"/>
    </row>
    <row r="5" spans="1:48" ht="27.75" customHeight="1">
      <c r="D5" s="3141" t="s">
        <v>226</v>
      </c>
      <c r="E5" s="3141"/>
      <c r="F5" s="3141"/>
      <c r="G5" s="3141"/>
      <c r="N5" s="113"/>
    </row>
    <row r="6" spans="1:48" ht="13.8" thickBot="1">
      <c r="D6" s="116"/>
      <c r="E6" s="116"/>
      <c r="F6" s="119"/>
      <c r="G6" s="120" t="s">
        <v>227</v>
      </c>
    </row>
    <row r="7" spans="1:48" ht="55.8" thickBot="1">
      <c r="B7" s="167" t="s">
        <v>228</v>
      </c>
      <c r="D7" s="168" t="s">
        <v>185</v>
      </c>
      <c r="E7" s="165"/>
      <c r="F7" s="165"/>
      <c r="G7" s="166"/>
      <c r="I7" s="169" t="s">
        <v>229</v>
      </c>
      <c r="K7" s="169" t="s">
        <v>229</v>
      </c>
      <c r="M7" s="169" t="s">
        <v>171</v>
      </c>
      <c r="N7" s="121"/>
      <c r="O7" s="169" t="s">
        <v>230</v>
      </c>
      <c r="P7" s="122"/>
      <c r="Q7" s="169" t="s">
        <v>231</v>
      </c>
      <c r="S7" s="169" t="s">
        <v>232</v>
      </c>
      <c r="U7" s="169" t="s">
        <v>233</v>
      </c>
      <c r="W7" s="169" t="s">
        <v>234</v>
      </c>
      <c r="Y7" s="169" t="s">
        <v>193</v>
      </c>
      <c r="AA7" s="169" t="s">
        <v>193</v>
      </c>
      <c r="AC7" s="169" t="s">
        <v>235</v>
      </c>
      <c r="AE7" s="169" t="s">
        <v>236</v>
      </c>
      <c r="AG7" s="169" t="s">
        <v>237</v>
      </c>
      <c r="AI7" s="169" t="s">
        <v>238</v>
      </c>
      <c r="AK7" s="169" t="str">
        <f>D47</f>
        <v>Pente de la voie d'accès dans le sens de la circulation</v>
      </c>
      <c r="AM7" s="169" t="str">
        <f>D48</f>
        <v>Pente de la voie d'accès dans le sens transversal à la circulation</v>
      </c>
      <c r="AO7" s="169" t="str">
        <f>D49</f>
        <v>Largeur minimale de la voie d'accès au silo</v>
      </c>
      <c r="AQ7" s="169" t="str">
        <f>D50</f>
        <v>Hauteur de dégagement de la voie d'accès au silo</v>
      </c>
      <c r="AS7" s="169" t="s">
        <v>239</v>
      </c>
      <c r="AU7" s="169" t="s">
        <v>240</v>
      </c>
    </row>
    <row r="8" spans="1:48">
      <c r="B8" s="3138">
        <v>1</v>
      </c>
      <c r="D8" s="3143" t="s">
        <v>241</v>
      </c>
      <c r="E8" s="3144"/>
      <c r="F8" s="3144"/>
      <c r="G8" s="3145"/>
      <c r="I8" s="177" t="s">
        <v>186</v>
      </c>
      <c r="K8" s="177" t="s">
        <v>186</v>
      </c>
      <c r="M8" s="177" t="s">
        <v>186</v>
      </c>
      <c r="O8" s="177" t="s">
        <v>186</v>
      </c>
      <c r="P8" s="115"/>
      <c r="Q8" s="177" t="s">
        <v>186</v>
      </c>
      <c r="S8" s="177" t="s">
        <v>186</v>
      </c>
      <c r="U8" s="177" t="s">
        <v>186</v>
      </c>
      <c r="W8" s="177" t="s">
        <v>186</v>
      </c>
      <c r="Y8" s="177" t="s">
        <v>186</v>
      </c>
      <c r="AA8" s="177" t="s">
        <v>186</v>
      </c>
      <c r="AC8" s="177" t="s">
        <v>186</v>
      </c>
      <c r="AE8" s="177" t="s">
        <v>186</v>
      </c>
      <c r="AG8" s="177" t="s">
        <v>186</v>
      </c>
      <c r="AI8" s="177" t="s">
        <v>186</v>
      </c>
      <c r="AK8" s="177" t="s">
        <v>186</v>
      </c>
      <c r="AM8" s="177" t="s">
        <v>186</v>
      </c>
      <c r="AO8" s="177" t="s">
        <v>186</v>
      </c>
      <c r="AQ8" s="177" t="s">
        <v>186</v>
      </c>
      <c r="AS8" s="177" t="s">
        <v>242</v>
      </c>
      <c r="AU8" s="177" t="s">
        <v>186</v>
      </c>
    </row>
    <row r="9" spans="1:48" ht="13.8" thickBot="1">
      <c r="B9" s="3142"/>
      <c r="D9" s="3146" t="s">
        <v>243</v>
      </c>
      <c r="E9" s="3147"/>
      <c r="F9" s="3147"/>
      <c r="G9" s="3148"/>
      <c r="I9" s="177" t="s">
        <v>244</v>
      </c>
      <c r="K9" s="177" t="s">
        <v>244</v>
      </c>
      <c r="M9" s="177" t="s">
        <v>245</v>
      </c>
      <c r="O9" s="177" t="s">
        <v>188</v>
      </c>
      <c r="P9" s="115"/>
      <c r="Q9" s="177" t="s">
        <v>246</v>
      </c>
      <c r="S9" s="177" t="s">
        <v>247</v>
      </c>
      <c r="U9" s="177" t="s">
        <v>248</v>
      </c>
      <c r="W9" s="177" t="s">
        <v>249</v>
      </c>
      <c r="Y9" s="177" t="s">
        <v>250</v>
      </c>
      <c r="AA9" s="177">
        <v>10</v>
      </c>
      <c r="AC9" s="177" t="s">
        <v>251</v>
      </c>
      <c r="AE9" s="177" t="s">
        <v>252</v>
      </c>
      <c r="AG9" s="177" t="s">
        <v>253</v>
      </c>
      <c r="AI9" s="177" t="s">
        <v>254</v>
      </c>
      <c r="AK9" s="177" t="str">
        <f>CONCATENATE("&gt; ",F47," %")</f>
        <v>&gt; 10 %</v>
      </c>
      <c r="AM9" s="177" t="str">
        <f>CONCATENATE("&gt; ",F48," %")</f>
        <v>&gt; 2 %</v>
      </c>
      <c r="AO9" s="177" t="str">
        <f>CONCATENATE("&gt; ",F49," m")</f>
        <v>&gt; 4 m</v>
      </c>
      <c r="AQ9" s="177" t="str">
        <f>CONCATENATE("&gt; ",F50," m")</f>
        <v>&gt; 6 m</v>
      </c>
      <c r="AS9" s="177"/>
      <c r="AU9" s="177" t="s">
        <v>255</v>
      </c>
    </row>
    <row r="10" spans="1:48">
      <c r="B10" s="3138">
        <v>5</v>
      </c>
      <c r="D10" s="131" t="s">
        <v>256</v>
      </c>
      <c r="E10" s="132"/>
      <c r="F10" s="133">
        <v>0.85</v>
      </c>
      <c r="G10" s="134" t="s">
        <v>30</v>
      </c>
      <c r="I10" s="177" t="s">
        <v>257</v>
      </c>
      <c r="K10" s="177" t="s">
        <v>257</v>
      </c>
      <c r="M10" s="177" t="s">
        <v>258</v>
      </c>
      <c r="O10" s="177" t="s">
        <v>191</v>
      </c>
      <c r="P10" s="115"/>
      <c r="Q10" s="177" t="s">
        <v>259</v>
      </c>
      <c r="S10" s="177" t="s">
        <v>260</v>
      </c>
      <c r="U10" s="177" t="s">
        <v>261</v>
      </c>
      <c r="W10" s="177" t="s">
        <v>262</v>
      </c>
      <c r="Y10" s="177" t="s">
        <v>263</v>
      </c>
      <c r="AA10" s="177">
        <v>30</v>
      </c>
      <c r="AC10" s="177" t="s">
        <v>264</v>
      </c>
      <c r="AE10" s="178" t="s">
        <v>265</v>
      </c>
      <c r="AG10" s="177" t="s">
        <v>266</v>
      </c>
      <c r="AI10" s="177" t="s">
        <v>267</v>
      </c>
      <c r="AK10" s="177" t="str">
        <f>CONCATENATE("&lt; ",F47," %")</f>
        <v>&lt; 10 %</v>
      </c>
      <c r="AM10" s="177" t="str">
        <f>CONCATENATE("&lt; ",F48," %")</f>
        <v>&lt; 2 %</v>
      </c>
      <c r="AO10" s="177" t="str">
        <f>CONCATENATE("&lt; ",F49," m")</f>
        <v>&lt; 4 m</v>
      </c>
      <c r="AQ10" s="177" t="str">
        <f>CONCATENATE("&lt; ",F50," m")</f>
        <v>&lt; 6 m</v>
      </c>
      <c r="AU10" s="177" t="s">
        <v>268</v>
      </c>
    </row>
    <row r="11" spans="1:48" ht="13.8" thickBot="1">
      <c r="B11" s="3139"/>
      <c r="D11" s="135" t="s">
        <v>269</v>
      </c>
      <c r="E11" s="136"/>
      <c r="F11" s="137">
        <v>0.95</v>
      </c>
      <c r="G11" s="138" t="s">
        <v>30</v>
      </c>
      <c r="I11" s="177" t="s">
        <v>270</v>
      </c>
      <c r="K11" s="177" t="s">
        <v>270</v>
      </c>
      <c r="M11" s="177" t="s">
        <v>271</v>
      </c>
      <c r="O11" s="177" t="s">
        <v>272</v>
      </c>
      <c r="P11" s="115"/>
      <c r="Q11" s="177" t="s">
        <v>144</v>
      </c>
      <c r="R11" s="115"/>
      <c r="S11" s="177" t="s">
        <v>273</v>
      </c>
      <c r="T11" s="115"/>
      <c r="U11" s="177" t="s">
        <v>273</v>
      </c>
      <c r="W11" s="177" t="s">
        <v>274</v>
      </c>
      <c r="Y11" s="177" t="s">
        <v>275</v>
      </c>
      <c r="AA11" s="177">
        <v>60</v>
      </c>
      <c r="AC11" s="177" t="s">
        <v>276</v>
      </c>
      <c r="AE11" s="177" t="s">
        <v>277</v>
      </c>
      <c r="AG11" s="177" t="s">
        <v>278</v>
      </c>
      <c r="AI11" s="177" t="s">
        <v>279</v>
      </c>
      <c r="AK11" s="177" t="s">
        <v>272</v>
      </c>
      <c r="AM11" s="177" t="s">
        <v>272</v>
      </c>
      <c r="AO11" s="177" t="s">
        <v>272</v>
      </c>
      <c r="AU11" s="177" t="s">
        <v>280</v>
      </c>
    </row>
    <row r="12" spans="1:48" ht="13.8" thickBot="1">
      <c r="B12" s="123">
        <v>6</v>
      </c>
      <c r="D12" s="139" t="s">
        <v>281</v>
      </c>
      <c r="E12" s="140"/>
      <c r="F12" s="141">
        <v>15</v>
      </c>
      <c r="G12" s="142" t="s">
        <v>30</v>
      </c>
      <c r="I12" s="177" t="s">
        <v>282</v>
      </c>
      <c r="K12" s="177" t="s">
        <v>282</v>
      </c>
      <c r="M12" s="177" t="s">
        <v>283</v>
      </c>
      <c r="O12" s="115"/>
      <c r="P12" s="115"/>
      <c r="Q12" s="177" t="s">
        <v>279</v>
      </c>
      <c r="R12" s="115"/>
      <c r="S12" s="177" t="s">
        <v>187</v>
      </c>
      <c r="T12" s="115"/>
      <c r="U12" s="177" t="s">
        <v>187</v>
      </c>
      <c r="W12" s="177" t="s">
        <v>189</v>
      </c>
      <c r="Y12" s="177" t="s">
        <v>284</v>
      </c>
      <c r="AA12" s="177">
        <v>90</v>
      </c>
      <c r="AC12" s="177" t="s">
        <v>285</v>
      </c>
      <c r="AG12" s="177" t="s">
        <v>286</v>
      </c>
      <c r="AI12" s="177" t="s">
        <v>285</v>
      </c>
      <c r="AU12" s="177" t="s">
        <v>287</v>
      </c>
    </row>
    <row r="13" spans="1:48" ht="12.75" customHeight="1">
      <c r="B13" s="3138">
        <v>9</v>
      </c>
      <c r="D13" s="143" t="s">
        <v>288</v>
      </c>
      <c r="E13" s="144">
        <v>300</v>
      </c>
      <c r="F13" s="145" t="str">
        <f t="shared" ref="F13:F18" si="0">M9</f>
        <v>C1 (P16/45 A et M 15/25-30)</v>
      </c>
      <c r="G13" s="146"/>
      <c r="M13" s="177" t="s">
        <v>289</v>
      </c>
      <c r="O13" s="115"/>
      <c r="P13" s="115"/>
      <c r="Q13" s="177" t="s">
        <v>285</v>
      </c>
      <c r="R13" s="115"/>
      <c r="S13" s="177" t="s">
        <v>83</v>
      </c>
      <c r="T13" s="115"/>
      <c r="U13" s="177" t="s">
        <v>83</v>
      </c>
      <c r="W13" s="177" t="s">
        <v>290</v>
      </c>
      <c r="Y13" s="177" t="s">
        <v>291</v>
      </c>
      <c r="AG13" s="177" t="s">
        <v>292</v>
      </c>
    </row>
    <row r="14" spans="1:48" ht="12.75" customHeight="1">
      <c r="B14" s="3139"/>
      <c r="D14" s="147" t="s">
        <v>288</v>
      </c>
      <c r="E14" s="148">
        <v>800</v>
      </c>
      <c r="F14" s="149" t="str">
        <f t="shared" si="0"/>
        <v>C2 (P45/63 et M 30/40)</v>
      </c>
      <c r="G14" s="150"/>
      <c r="M14" s="177" t="s">
        <v>293</v>
      </c>
      <c r="O14" s="115"/>
      <c r="P14" s="115"/>
      <c r="Q14" s="115"/>
      <c r="R14" s="115"/>
      <c r="S14" s="115"/>
      <c r="T14" s="115"/>
      <c r="U14" s="115"/>
      <c r="Y14" s="178" t="s">
        <v>294</v>
      </c>
      <c r="AG14" s="177" t="s">
        <v>285</v>
      </c>
    </row>
    <row r="15" spans="1:48" ht="12.75" customHeight="1">
      <c r="B15" s="3139"/>
      <c r="D15" s="147" t="s">
        <v>288</v>
      </c>
      <c r="E15" s="148">
        <v>3000</v>
      </c>
      <c r="F15" s="149" t="str">
        <f t="shared" si="0"/>
        <v>C3 (P63/125 et M 35/45)</v>
      </c>
      <c r="G15" s="150"/>
      <c r="O15" s="115"/>
      <c r="P15" s="115"/>
      <c r="Q15" s="115"/>
      <c r="R15" s="115"/>
      <c r="S15" s="115"/>
      <c r="T15" s="115"/>
      <c r="U15" s="115"/>
      <c r="Y15" s="177" t="s">
        <v>83</v>
      </c>
    </row>
    <row r="16" spans="1:48" ht="12.75" customHeight="1">
      <c r="B16" s="3139"/>
      <c r="D16" s="147" t="s">
        <v>288</v>
      </c>
      <c r="E16" s="148">
        <v>5000</v>
      </c>
      <c r="F16" s="149" t="str">
        <f t="shared" si="0"/>
        <v>C4 (P100/200 et M10/20)</v>
      </c>
      <c r="G16" s="150"/>
      <c r="O16" s="115"/>
      <c r="P16" s="115"/>
      <c r="Q16" s="115"/>
      <c r="R16" s="115"/>
      <c r="S16" s="115"/>
      <c r="T16" s="115"/>
      <c r="U16" s="115"/>
    </row>
    <row r="17" spans="2:21" ht="12.75" customHeight="1">
      <c r="B17" s="3139"/>
      <c r="D17" s="147" t="s">
        <v>288</v>
      </c>
      <c r="E17" s="148">
        <v>15000</v>
      </c>
      <c r="F17" s="149" t="str">
        <f t="shared" si="0"/>
        <v>C5 (P100/200 et M40/55)</v>
      </c>
      <c r="G17" s="150"/>
      <c r="O17" s="115"/>
      <c r="P17" s="115"/>
      <c r="Q17" s="115"/>
      <c r="R17" s="115"/>
      <c r="S17" s="115"/>
      <c r="T17" s="115"/>
      <c r="U17" s="115"/>
    </row>
    <row r="18" spans="2:21" ht="27" thickBot="1">
      <c r="B18" s="3142"/>
      <c r="D18" s="151" t="s">
        <v>295</v>
      </c>
      <c r="E18" s="152">
        <v>15000</v>
      </c>
      <c r="F18" s="153" t="str">
        <f t="shared" si="0"/>
        <v>C6 (Spécifique forte puissance)</v>
      </c>
      <c r="G18" s="154"/>
      <c r="O18" s="115"/>
      <c r="P18" s="115"/>
      <c r="Q18" s="115"/>
      <c r="R18" s="115"/>
      <c r="S18" s="115"/>
      <c r="T18" s="115"/>
      <c r="U18" s="115"/>
    </row>
    <row r="19" spans="2:21" ht="13.8" thickBot="1">
      <c r="B19" s="124">
        <v>10</v>
      </c>
      <c r="D19" s="3153" t="s">
        <v>296</v>
      </c>
      <c r="E19" s="3154"/>
      <c r="F19" s="3155"/>
      <c r="G19" s="3156"/>
      <c r="M19" s="115"/>
      <c r="S19" s="115"/>
      <c r="T19" s="115"/>
      <c r="U19" s="115"/>
    </row>
    <row r="20" spans="2:21" ht="13.8" thickBot="1">
      <c r="B20" s="125">
        <v>12</v>
      </c>
      <c r="D20" s="3157" t="s">
        <v>297</v>
      </c>
      <c r="E20" s="3158"/>
      <c r="F20" s="155">
        <v>1.5</v>
      </c>
      <c r="G20" s="156" t="s">
        <v>298</v>
      </c>
      <c r="M20" s="115"/>
      <c r="S20" s="115"/>
      <c r="T20" s="115"/>
      <c r="U20" s="115"/>
    </row>
    <row r="21" spans="2:21" ht="15" thickBot="1">
      <c r="B21" s="125">
        <v>15</v>
      </c>
      <c r="D21" s="3153" t="s">
        <v>299</v>
      </c>
      <c r="E21" s="3154"/>
      <c r="F21" s="157">
        <v>0.5</v>
      </c>
      <c r="G21" s="158"/>
      <c r="M21" s="126"/>
    </row>
    <row r="22" spans="2:21">
      <c r="B22" s="3138">
        <v>16</v>
      </c>
      <c r="D22" s="131" t="s">
        <v>300</v>
      </c>
      <c r="E22" s="132"/>
      <c r="F22" s="155">
        <v>1500</v>
      </c>
      <c r="G22" s="134" t="s">
        <v>301</v>
      </c>
      <c r="M22" s="126"/>
    </row>
    <row r="23" spans="2:21" ht="13.8" thickBot="1">
      <c r="B23" s="3142"/>
      <c r="D23" s="135" t="s">
        <v>302</v>
      </c>
      <c r="E23" s="136"/>
      <c r="F23" s="159">
        <v>3000</v>
      </c>
      <c r="G23" s="138" t="s">
        <v>301</v>
      </c>
      <c r="M23" s="126"/>
    </row>
    <row r="24" spans="2:21" ht="13.8" thickBot="1">
      <c r="B24" s="124">
        <v>18</v>
      </c>
      <c r="D24" s="160" t="s">
        <v>303</v>
      </c>
      <c r="E24" s="161"/>
      <c r="F24" s="162">
        <f>15</f>
        <v>15</v>
      </c>
      <c r="G24" s="158" t="s">
        <v>304</v>
      </c>
      <c r="M24" s="126"/>
    </row>
    <row r="25" spans="2:21" ht="13.8" thickBot="1">
      <c r="D25" s="116"/>
      <c r="E25" s="116"/>
      <c r="F25" s="116"/>
      <c r="G25" s="116"/>
      <c r="M25" s="126"/>
    </row>
    <row r="26" spans="2:21" ht="14.4" thickBot="1">
      <c r="D26" s="164" t="s">
        <v>305</v>
      </c>
      <c r="E26" s="165"/>
      <c r="F26" s="165"/>
      <c r="G26" s="166"/>
    </row>
    <row r="27" spans="2:21" ht="13.8" thickBot="1">
      <c r="B27" s="127">
        <v>26</v>
      </c>
      <c r="D27" s="3153" t="s">
        <v>306</v>
      </c>
      <c r="E27" s="3154"/>
      <c r="F27" s="162">
        <v>10</v>
      </c>
      <c r="G27" s="158" t="s">
        <v>30</v>
      </c>
    </row>
    <row r="28" spans="2:21">
      <c r="B28" s="3138">
        <v>48</v>
      </c>
      <c r="D28" s="3165" t="s">
        <v>307</v>
      </c>
      <c r="E28" s="3166"/>
      <c r="F28" s="3159">
        <v>5</v>
      </c>
      <c r="G28" s="3160"/>
    </row>
    <row r="29" spans="2:21">
      <c r="B29" s="3139"/>
      <c r="D29" s="3161" t="s">
        <v>308</v>
      </c>
      <c r="E29" s="3162"/>
      <c r="F29" s="3163">
        <v>15</v>
      </c>
      <c r="G29" s="3164"/>
    </row>
    <row r="30" spans="2:21">
      <c r="B30" s="3139"/>
      <c r="D30" s="3161" t="s">
        <v>309</v>
      </c>
      <c r="E30" s="3162"/>
      <c r="F30" s="3163">
        <v>20</v>
      </c>
      <c r="G30" s="3164"/>
    </row>
    <row r="31" spans="2:21" ht="13.8" thickBot="1">
      <c r="B31" s="3142"/>
      <c r="D31" s="3149" t="s">
        <v>310</v>
      </c>
      <c r="E31" s="3150"/>
      <c r="F31" s="3151" t="s">
        <v>311</v>
      </c>
      <c r="G31" s="3152"/>
    </row>
    <row r="32" spans="2:21" ht="13.8" thickBot="1"/>
    <row r="33" spans="2:48">
      <c r="B33" s="3138">
        <v>28</v>
      </c>
      <c r="D33" s="3168" t="s">
        <v>312</v>
      </c>
      <c r="E33" s="3169"/>
      <c r="F33" s="3169"/>
      <c r="G33" s="3172"/>
      <c r="H33" s="128"/>
      <c r="I33" s="128"/>
      <c r="J33" s="128"/>
      <c r="K33" s="128"/>
      <c r="L33" s="128"/>
      <c r="M33" s="128"/>
      <c r="N33" s="128"/>
      <c r="O33" s="128"/>
      <c r="P33" s="128"/>
      <c r="Q33" s="128"/>
      <c r="R33" s="128"/>
      <c r="V33" s="128"/>
      <c r="X33" s="128"/>
      <c r="Y33" s="128"/>
      <c r="Z33" s="128"/>
      <c r="AA33" s="128"/>
      <c r="AB33" s="128"/>
      <c r="AC33" s="128"/>
      <c r="AD33" s="128"/>
      <c r="AE33" s="128"/>
      <c r="AF33" s="128"/>
      <c r="AH33" s="128"/>
      <c r="AI33" s="128"/>
      <c r="AJ33" s="128"/>
      <c r="AK33" s="128"/>
      <c r="AL33" s="128"/>
      <c r="AM33" s="128"/>
      <c r="AN33" s="128"/>
      <c r="AO33" s="128"/>
      <c r="AP33" s="128"/>
      <c r="AQ33" s="128"/>
      <c r="AR33" s="128"/>
      <c r="AS33" s="128"/>
      <c r="AT33" s="128"/>
      <c r="AV33" s="128"/>
    </row>
    <row r="34" spans="2:48" ht="13.8" thickBot="1">
      <c r="B34" s="3142"/>
      <c r="D34" s="3149" t="s">
        <v>313</v>
      </c>
      <c r="E34" s="3150"/>
      <c r="F34" s="170">
        <v>6</v>
      </c>
      <c r="G34" s="171" t="s">
        <v>108</v>
      </c>
      <c r="H34" s="128"/>
      <c r="I34" s="128"/>
      <c r="J34" s="128"/>
      <c r="K34" s="128"/>
      <c r="L34" s="128"/>
      <c r="M34" s="128"/>
      <c r="N34" s="128"/>
      <c r="O34" s="128"/>
      <c r="P34" s="128"/>
      <c r="Q34" s="128"/>
      <c r="R34" s="128"/>
      <c r="V34" s="128"/>
      <c r="W34" s="128"/>
      <c r="X34" s="128"/>
      <c r="Y34" s="128"/>
      <c r="Z34" s="128"/>
      <c r="AA34" s="128"/>
      <c r="AB34" s="128"/>
      <c r="AC34" s="128"/>
      <c r="AD34" s="128"/>
      <c r="AE34" s="128"/>
      <c r="AF34" s="128"/>
      <c r="AH34" s="128"/>
      <c r="AI34" s="128"/>
      <c r="AJ34" s="128"/>
      <c r="AK34" s="128"/>
      <c r="AL34" s="128"/>
      <c r="AM34" s="128"/>
      <c r="AN34" s="128"/>
      <c r="AO34" s="128"/>
      <c r="AP34" s="128"/>
      <c r="AQ34" s="128"/>
      <c r="AR34" s="128"/>
      <c r="AS34" s="128"/>
      <c r="AT34" s="128"/>
      <c r="AV34" s="128"/>
    </row>
    <row r="35" spans="2:48" ht="13.8" thickBot="1">
      <c r="D35" s="116"/>
      <c r="E35" s="116"/>
      <c r="F35" s="116"/>
      <c r="G35" s="116"/>
      <c r="H35" s="128"/>
      <c r="I35" s="128"/>
      <c r="J35" s="128"/>
      <c r="K35" s="128"/>
      <c r="L35" s="128"/>
      <c r="M35" s="128"/>
      <c r="N35" s="128"/>
      <c r="O35" s="128"/>
      <c r="P35" s="128"/>
      <c r="Q35" s="128"/>
      <c r="R35" s="128"/>
      <c r="V35" s="128"/>
      <c r="W35" s="128"/>
      <c r="X35" s="128"/>
      <c r="Y35" s="128"/>
      <c r="Z35" s="128"/>
      <c r="AA35" s="128"/>
      <c r="AB35" s="128"/>
      <c r="AC35" s="128"/>
      <c r="AD35" s="128"/>
      <c r="AE35" s="128"/>
      <c r="AF35" s="128"/>
      <c r="AH35" s="128"/>
      <c r="AI35" s="128"/>
      <c r="AJ35" s="128"/>
      <c r="AK35" s="128"/>
      <c r="AL35" s="128"/>
      <c r="AM35" s="128"/>
      <c r="AN35" s="128"/>
      <c r="AO35" s="128"/>
      <c r="AP35" s="128"/>
      <c r="AQ35" s="128"/>
      <c r="AR35" s="128"/>
      <c r="AS35" s="128"/>
      <c r="AT35" s="128"/>
      <c r="AV35" s="128"/>
    </row>
    <row r="36" spans="2:48" ht="14.4" thickBot="1">
      <c r="D36" s="164" t="s">
        <v>314</v>
      </c>
      <c r="E36" s="165"/>
      <c r="F36" s="165"/>
      <c r="G36" s="166"/>
      <c r="H36" s="129"/>
      <c r="I36" s="129"/>
      <c r="J36" s="129"/>
      <c r="K36" s="129"/>
      <c r="L36" s="129"/>
      <c r="M36" s="129"/>
      <c r="N36" s="129"/>
      <c r="O36" s="129"/>
      <c r="P36" s="129"/>
      <c r="Q36" s="129"/>
      <c r="R36" s="129"/>
      <c r="V36" s="129"/>
      <c r="W36" s="128"/>
      <c r="X36" s="129"/>
      <c r="Y36" s="129"/>
      <c r="Z36" s="129"/>
      <c r="AA36" s="129"/>
      <c r="AB36" s="129"/>
      <c r="AC36" s="129"/>
      <c r="AD36" s="129"/>
      <c r="AE36" s="129"/>
      <c r="AF36" s="129"/>
      <c r="AG36" s="128"/>
      <c r="AH36" s="129"/>
      <c r="AI36" s="129"/>
      <c r="AJ36" s="129"/>
      <c r="AK36" s="129"/>
      <c r="AL36" s="129"/>
      <c r="AM36" s="129"/>
      <c r="AN36" s="129"/>
      <c r="AO36" s="129"/>
      <c r="AP36" s="129"/>
      <c r="AQ36" s="129"/>
      <c r="AR36" s="129"/>
      <c r="AS36" s="129"/>
      <c r="AT36" s="129"/>
      <c r="AU36" s="128"/>
      <c r="AV36" s="129"/>
    </row>
    <row r="37" spans="2:48" ht="13.8" thickBot="1">
      <c r="B37" s="124">
        <v>36</v>
      </c>
      <c r="D37" s="3153" t="s">
        <v>315</v>
      </c>
      <c r="E37" s="3154"/>
      <c r="F37" s="162">
        <v>2</v>
      </c>
      <c r="G37" s="158" t="s">
        <v>190</v>
      </c>
      <c r="H37" s="129"/>
      <c r="I37" s="129"/>
      <c r="J37" s="129"/>
      <c r="K37" s="129"/>
      <c r="L37" s="129"/>
      <c r="M37" s="129"/>
      <c r="N37" s="129"/>
      <c r="O37" s="129"/>
      <c r="P37" s="129"/>
      <c r="Q37" s="129"/>
      <c r="R37" s="129"/>
      <c r="V37" s="129"/>
      <c r="W37" s="129"/>
      <c r="X37" s="129"/>
      <c r="Y37" s="129"/>
      <c r="Z37" s="129"/>
      <c r="AA37" s="129"/>
      <c r="AB37" s="129"/>
      <c r="AC37" s="129"/>
      <c r="AD37" s="129"/>
      <c r="AE37" s="129"/>
      <c r="AF37" s="129"/>
      <c r="AG37" s="128"/>
      <c r="AH37" s="129"/>
      <c r="AI37" s="129"/>
      <c r="AJ37" s="129"/>
      <c r="AK37" s="129"/>
      <c r="AL37" s="129"/>
      <c r="AM37" s="129"/>
      <c r="AN37" s="129"/>
      <c r="AO37" s="129"/>
      <c r="AP37" s="129"/>
      <c r="AQ37" s="129"/>
      <c r="AR37" s="129"/>
      <c r="AS37" s="129"/>
      <c r="AT37" s="129"/>
      <c r="AU37" s="128"/>
      <c r="AV37" s="129"/>
    </row>
    <row r="38" spans="2:48" ht="13.8" thickBot="1">
      <c r="B38" s="124">
        <v>37</v>
      </c>
      <c r="D38" s="3153" t="s">
        <v>316</v>
      </c>
      <c r="E38" s="3154"/>
      <c r="F38" s="162">
        <v>3</v>
      </c>
      <c r="G38" s="158" t="s">
        <v>190</v>
      </c>
      <c r="H38" s="129"/>
      <c r="I38" s="129"/>
      <c r="J38" s="129"/>
      <c r="K38" s="129"/>
      <c r="L38" s="129"/>
      <c r="M38" s="129"/>
      <c r="N38" s="129"/>
      <c r="O38" s="129"/>
      <c r="P38" s="129"/>
      <c r="Q38" s="129"/>
      <c r="R38" s="129"/>
      <c r="V38" s="129"/>
      <c r="W38" s="129"/>
      <c r="X38" s="129"/>
      <c r="Y38" s="129"/>
      <c r="Z38" s="129"/>
      <c r="AA38" s="129"/>
      <c r="AB38" s="129"/>
      <c r="AC38" s="129"/>
      <c r="AD38" s="129"/>
      <c r="AE38" s="129"/>
      <c r="AF38" s="129"/>
      <c r="AG38" s="128"/>
      <c r="AH38" s="129"/>
      <c r="AI38" s="129"/>
      <c r="AJ38" s="129"/>
      <c r="AK38" s="129"/>
      <c r="AL38" s="129"/>
      <c r="AM38" s="129"/>
      <c r="AN38" s="129"/>
      <c r="AO38" s="129"/>
      <c r="AP38" s="129"/>
      <c r="AQ38" s="129"/>
      <c r="AR38" s="129"/>
      <c r="AS38" s="129"/>
      <c r="AT38" s="129"/>
      <c r="AU38" s="128"/>
      <c r="AV38" s="129"/>
    </row>
    <row r="39" spans="2:48">
      <c r="B39" s="3138">
        <v>40</v>
      </c>
      <c r="D39" s="3168" t="s">
        <v>317</v>
      </c>
      <c r="E39" s="3169"/>
      <c r="F39" s="172">
        <v>10</v>
      </c>
      <c r="G39" s="173" t="s">
        <v>192</v>
      </c>
      <c r="H39" s="129"/>
      <c r="I39" s="129"/>
      <c r="J39" s="129"/>
      <c r="K39" s="129"/>
      <c r="L39" s="129"/>
      <c r="M39" s="129"/>
      <c r="N39" s="129"/>
      <c r="O39" s="129"/>
      <c r="P39" s="129"/>
      <c r="Q39" s="129"/>
      <c r="R39" s="129"/>
      <c r="V39" s="129"/>
      <c r="W39" s="129"/>
      <c r="X39" s="129"/>
      <c r="Y39" s="129"/>
      <c r="Z39" s="129"/>
      <c r="AA39" s="129"/>
      <c r="AB39" s="129"/>
      <c r="AC39" s="129"/>
      <c r="AD39" s="129"/>
      <c r="AE39" s="129"/>
      <c r="AF39" s="129"/>
      <c r="AG39" s="128"/>
      <c r="AH39" s="129"/>
      <c r="AI39" s="129"/>
      <c r="AJ39" s="129"/>
      <c r="AK39" s="129"/>
      <c r="AL39" s="129"/>
      <c r="AM39" s="129"/>
      <c r="AN39" s="129"/>
      <c r="AO39" s="129"/>
      <c r="AP39" s="129"/>
      <c r="AQ39" s="129"/>
      <c r="AR39" s="129"/>
      <c r="AS39" s="129"/>
      <c r="AT39" s="129"/>
      <c r="AU39" s="128"/>
      <c r="AV39" s="129"/>
    </row>
    <row r="40" spans="2:48" ht="13.8" thickBot="1">
      <c r="B40" s="3142"/>
      <c r="D40" s="3170" t="s">
        <v>318</v>
      </c>
      <c r="E40" s="3171"/>
      <c r="F40" s="174">
        <v>25</v>
      </c>
      <c r="G40" s="175" t="s">
        <v>192</v>
      </c>
      <c r="H40" s="129"/>
      <c r="I40" s="129"/>
      <c r="J40" s="129"/>
      <c r="K40" s="129"/>
      <c r="L40" s="129"/>
      <c r="M40" s="129"/>
      <c r="N40" s="129"/>
      <c r="O40" s="129"/>
      <c r="P40" s="129"/>
      <c r="Q40" s="129"/>
      <c r="R40" s="129"/>
      <c r="V40" s="129"/>
      <c r="W40" s="129"/>
      <c r="X40" s="129"/>
      <c r="Y40" s="129"/>
      <c r="Z40" s="129"/>
      <c r="AA40" s="129"/>
      <c r="AB40" s="129"/>
      <c r="AC40" s="129"/>
      <c r="AD40" s="129"/>
      <c r="AE40" s="129"/>
      <c r="AF40" s="129"/>
      <c r="AG40" s="128"/>
      <c r="AH40" s="129"/>
      <c r="AI40" s="129"/>
      <c r="AJ40" s="129"/>
      <c r="AK40" s="129"/>
      <c r="AL40" s="129"/>
      <c r="AM40" s="129"/>
      <c r="AN40" s="129"/>
      <c r="AO40" s="129"/>
      <c r="AP40" s="129"/>
      <c r="AQ40" s="129"/>
      <c r="AR40" s="129"/>
      <c r="AS40" s="129"/>
      <c r="AT40" s="129"/>
      <c r="AU40" s="128"/>
      <c r="AV40" s="129"/>
    </row>
    <row r="41" spans="2:48" ht="13.8" thickBot="1">
      <c r="B41" s="124">
        <v>44</v>
      </c>
      <c r="D41" s="3153" t="s">
        <v>319</v>
      </c>
      <c r="E41" s="3154"/>
      <c r="F41" s="162">
        <v>70</v>
      </c>
      <c r="G41" s="158" t="s">
        <v>30</v>
      </c>
      <c r="W41" s="129"/>
      <c r="AG41" s="129"/>
      <c r="AU41" s="129"/>
    </row>
    <row r="42" spans="2:48" ht="13.8" thickBot="1">
      <c r="B42" s="124">
        <v>45</v>
      </c>
      <c r="D42" s="3153" t="s">
        <v>320</v>
      </c>
      <c r="E42" s="3154"/>
      <c r="F42" s="162">
        <v>5</v>
      </c>
      <c r="G42" s="158" t="s">
        <v>190</v>
      </c>
      <c r="S42" s="128"/>
      <c r="T42" s="128"/>
      <c r="U42" s="128"/>
    </row>
    <row r="43" spans="2:48" ht="13.8" thickBot="1">
      <c r="B43" s="124">
        <v>50</v>
      </c>
      <c r="D43" s="3153" t="s">
        <v>321</v>
      </c>
      <c r="E43" s="3154"/>
      <c r="F43" s="162">
        <v>4</v>
      </c>
      <c r="G43" s="158" t="s">
        <v>194</v>
      </c>
      <c r="S43" s="128"/>
      <c r="T43" s="128"/>
      <c r="U43" s="128"/>
    </row>
    <row r="44" spans="2:48" ht="13.8" thickBot="1">
      <c r="B44" s="124">
        <v>57</v>
      </c>
      <c r="D44" s="3153" t="s">
        <v>322</v>
      </c>
      <c r="E44" s="3154"/>
      <c r="F44" s="162">
        <v>30</v>
      </c>
      <c r="G44" s="158" t="s">
        <v>195</v>
      </c>
      <c r="S44" s="128"/>
      <c r="T44" s="128"/>
      <c r="U44" s="128"/>
    </row>
    <row r="45" spans="2:48" ht="13.8" thickBot="1">
      <c r="D45" s="116"/>
      <c r="E45" s="116"/>
      <c r="F45" s="116"/>
      <c r="G45" s="116"/>
      <c r="S45" s="129"/>
      <c r="T45" s="129"/>
      <c r="U45" s="129"/>
    </row>
    <row r="46" spans="2:48" ht="14.4" thickBot="1">
      <c r="D46" s="164" t="s">
        <v>323</v>
      </c>
      <c r="E46" s="165"/>
      <c r="F46" s="165"/>
      <c r="G46" s="166"/>
    </row>
    <row r="47" spans="2:48" ht="13.8" thickBot="1">
      <c r="B47" s="124">
        <v>59</v>
      </c>
      <c r="D47" s="3153" t="s">
        <v>324</v>
      </c>
      <c r="E47" s="3154"/>
      <c r="F47" s="162">
        <v>10</v>
      </c>
      <c r="G47" s="158" t="s">
        <v>30</v>
      </c>
    </row>
    <row r="48" spans="2:48" ht="13.8" thickBot="1">
      <c r="B48" s="124">
        <v>60</v>
      </c>
      <c r="D48" s="3153" t="s">
        <v>325</v>
      </c>
      <c r="E48" s="3154"/>
      <c r="F48" s="162">
        <v>2</v>
      </c>
      <c r="G48" s="158" t="s">
        <v>30</v>
      </c>
    </row>
    <row r="49" spans="2:7" ht="13.8" thickBot="1">
      <c r="B49" s="124">
        <v>62</v>
      </c>
      <c r="D49" s="3153" t="s">
        <v>326</v>
      </c>
      <c r="E49" s="3154"/>
      <c r="F49" s="162">
        <v>4</v>
      </c>
      <c r="G49" s="158" t="s">
        <v>190</v>
      </c>
    </row>
    <row r="50" spans="2:7" ht="13.8" thickBot="1">
      <c r="B50" s="124">
        <v>63</v>
      </c>
      <c r="D50" s="3153" t="s">
        <v>327</v>
      </c>
      <c r="E50" s="3154"/>
      <c r="F50" s="162">
        <v>6</v>
      </c>
      <c r="G50" s="158" t="s">
        <v>190</v>
      </c>
    </row>
    <row r="51" spans="2:7" ht="13.8" thickBot="1">
      <c r="D51" s="130"/>
      <c r="E51" s="130"/>
      <c r="F51" s="117"/>
      <c r="G51" s="116"/>
    </row>
    <row r="52" spans="2:7" ht="14.4" thickBot="1">
      <c r="D52" s="164" t="s">
        <v>196</v>
      </c>
      <c r="E52" s="165"/>
      <c r="F52" s="165"/>
      <c r="G52" s="166"/>
    </row>
    <row r="53" spans="2:7">
      <c r="B53" s="3138">
        <v>80</v>
      </c>
      <c r="D53" s="3168" t="s">
        <v>328</v>
      </c>
      <c r="E53" s="3169"/>
      <c r="F53" s="172">
        <v>80</v>
      </c>
      <c r="G53" s="173" t="s">
        <v>329</v>
      </c>
    </row>
    <row r="54" spans="2:7" ht="13.8" thickBot="1">
      <c r="B54" s="3142"/>
      <c r="D54" s="3170" t="s">
        <v>330</v>
      </c>
      <c r="E54" s="3171"/>
      <c r="F54" s="174">
        <v>120</v>
      </c>
      <c r="G54" s="175" t="s">
        <v>329</v>
      </c>
    </row>
    <row r="56" spans="2:7">
      <c r="D56" s="3167"/>
      <c r="E56" s="3167"/>
      <c r="F56" s="3167"/>
      <c r="G56" s="3167"/>
    </row>
    <row r="57" spans="2:7">
      <c r="D57" s="176"/>
      <c r="E57" s="176"/>
      <c r="F57" s="176"/>
      <c r="G57" s="176"/>
    </row>
    <row r="58" spans="2:7">
      <c r="D58" s="118"/>
      <c r="E58" s="116"/>
      <c r="F58" s="117"/>
      <c r="G58" s="116"/>
    </row>
  </sheetData>
  <sheetProtection selectLockedCells="1" selectUnlockedCells="1"/>
  <mergeCells count="41">
    <mergeCell ref="B53:B54"/>
    <mergeCell ref="D53:E53"/>
    <mergeCell ref="D54:E54"/>
    <mergeCell ref="B33:B34"/>
    <mergeCell ref="D33:G33"/>
    <mergeCell ref="D34:E34"/>
    <mergeCell ref="D37:E37"/>
    <mergeCell ref="D38:E38"/>
    <mergeCell ref="B39:B40"/>
    <mergeCell ref="D39:E39"/>
    <mergeCell ref="D40:E40"/>
    <mergeCell ref="D56:G56"/>
    <mergeCell ref="D41:E41"/>
    <mergeCell ref="D42:E42"/>
    <mergeCell ref="D43:E43"/>
    <mergeCell ref="D44:E44"/>
    <mergeCell ref="D47:E47"/>
    <mergeCell ref="D48:E48"/>
    <mergeCell ref="D49:E49"/>
    <mergeCell ref="D50:E50"/>
    <mergeCell ref="D31:E31"/>
    <mergeCell ref="F31:G31"/>
    <mergeCell ref="B13:B18"/>
    <mergeCell ref="D19:G19"/>
    <mergeCell ref="D20:E20"/>
    <mergeCell ref="D21:E21"/>
    <mergeCell ref="B22:B23"/>
    <mergeCell ref="D27:E27"/>
    <mergeCell ref="F28:G28"/>
    <mergeCell ref="D29:E29"/>
    <mergeCell ref="F29:G29"/>
    <mergeCell ref="D30:E30"/>
    <mergeCell ref="F30:G30"/>
    <mergeCell ref="B28:B31"/>
    <mergeCell ref="D28:E28"/>
    <mergeCell ref="B10:B11"/>
    <mergeCell ref="M3:AS3"/>
    <mergeCell ref="D5:G5"/>
    <mergeCell ref="B8:B9"/>
    <mergeCell ref="D8:G8"/>
    <mergeCell ref="D9:G9"/>
  </mergeCells>
  <printOptions horizontalCentered="1"/>
  <pageMargins left="0" right="0" top="0.39374999999999999" bottom="0"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N424"/>
  <sheetViews>
    <sheetView topLeftCell="A18" workbookViewId="0">
      <selection activeCell="F30" sqref="F30"/>
    </sheetView>
  </sheetViews>
  <sheetFormatPr defaultColWidth="11.5546875" defaultRowHeight="14.4"/>
  <cols>
    <col min="1" max="1" width="11.44140625" style="1"/>
    <col min="2" max="2" width="13.109375" customWidth="1"/>
    <col min="3" max="3" width="9" customWidth="1"/>
    <col min="5" max="5" width="38.6640625" customWidth="1"/>
    <col min="9" max="14" width="11.44140625" style="1"/>
  </cols>
  <sheetData>
    <row r="1" spans="2:7" s="1" customFormat="1"/>
    <row r="2" spans="2:7" s="1" customFormat="1" ht="15" thickBot="1"/>
    <row r="3" spans="2:7" s="1" customFormat="1" ht="18.600000000000001" thickBot="1">
      <c r="B3" s="1767" t="s">
        <v>355</v>
      </c>
      <c r="C3" s="1768"/>
      <c r="D3" s="1768"/>
      <c r="E3" s="1768"/>
      <c r="F3" s="1768"/>
      <c r="G3" s="1769"/>
    </row>
    <row r="4" spans="2:7" s="1" customFormat="1" ht="15" thickBot="1">
      <c r="B4" s="1237"/>
      <c r="C4" s="112"/>
      <c r="D4" s="112"/>
      <c r="E4" s="112"/>
      <c r="F4" s="112"/>
      <c r="G4" s="1238"/>
    </row>
    <row r="5" spans="2:7" s="1" customFormat="1" ht="15.6">
      <c r="B5" s="1772" t="s">
        <v>1013</v>
      </c>
      <c r="C5" s="1773"/>
      <c r="D5" s="1782" t="s">
        <v>357</v>
      </c>
      <c r="E5" s="1782"/>
      <c r="F5" s="1782"/>
      <c r="G5" s="1783"/>
    </row>
    <row r="6" spans="2:7" s="1" customFormat="1">
      <c r="B6" s="1774"/>
      <c r="C6" s="1775"/>
      <c r="D6" s="1784" t="s">
        <v>186</v>
      </c>
      <c r="E6" s="1784"/>
      <c r="F6" s="1784"/>
      <c r="G6" s="1785"/>
    </row>
    <row r="7" spans="2:7" s="1" customFormat="1" ht="15.75" customHeight="1">
      <c r="B7" s="1774"/>
      <c r="C7" s="1775"/>
      <c r="D7" s="1778" t="s">
        <v>356</v>
      </c>
      <c r="E7" s="1778"/>
      <c r="F7" s="1778"/>
      <c r="G7" s="1779"/>
    </row>
    <row r="8" spans="2:7" s="1" customFormat="1" ht="15.75" customHeight="1">
      <c r="B8" s="1774"/>
      <c r="C8" s="1775"/>
      <c r="D8" s="1786" t="s">
        <v>1061</v>
      </c>
      <c r="E8" s="1786"/>
      <c r="F8" s="1786"/>
      <c r="G8" s="1787"/>
    </row>
    <row r="9" spans="2:7" s="1" customFormat="1" ht="15" thickBot="1">
      <c r="B9" s="1776"/>
      <c r="C9" s="1777"/>
      <c r="D9" s="1780" t="s">
        <v>594</v>
      </c>
      <c r="E9" s="1780"/>
      <c r="F9" s="1780"/>
      <c r="G9" s="1781"/>
    </row>
    <row r="10" spans="2:7" s="1" customFormat="1">
      <c r="B10" s="1237"/>
      <c r="C10" s="112"/>
      <c r="D10" s="112"/>
      <c r="E10" s="112"/>
      <c r="F10" s="112"/>
      <c r="G10" s="1238"/>
    </row>
    <row r="11" spans="2:7" s="1" customFormat="1" ht="15" thickBot="1">
      <c r="B11" s="1239"/>
      <c r="C11" s="112"/>
      <c r="D11" s="112"/>
      <c r="E11" s="112"/>
      <c r="F11" s="112"/>
      <c r="G11" s="1238"/>
    </row>
    <row r="12" spans="2:7" s="1" customFormat="1">
      <c r="B12" s="1772" t="s">
        <v>359</v>
      </c>
      <c r="C12" s="1773"/>
      <c r="D12" s="1302" t="s">
        <v>593</v>
      </c>
      <c r="E12" s="1302"/>
      <c r="F12" s="1302"/>
      <c r="G12" s="1303"/>
    </row>
    <row r="13" spans="2:7" s="1" customFormat="1">
      <c r="B13" s="1774"/>
      <c r="C13" s="1775"/>
      <c r="D13" s="537" t="s">
        <v>595</v>
      </c>
      <c r="E13" s="112"/>
      <c r="F13" s="112"/>
      <c r="G13" s="1238"/>
    </row>
    <row r="14" spans="2:7" s="1" customFormat="1" ht="15" thickBot="1">
      <c r="B14" s="1776"/>
      <c r="C14" s="1777"/>
      <c r="D14" s="538" t="s">
        <v>1074</v>
      </c>
      <c r="E14" s="112"/>
      <c r="F14" s="112"/>
      <c r="G14" s="1238"/>
    </row>
    <row r="15" spans="2:7" s="1" customFormat="1">
      <c r="B15" s="1304" t="s">
        <v>1073</v>
      </c>
      <c r="C15" s="112"/>
      <c r="D15" s="112"/>
      <c r="E15" s="112"/>
      <c r="F15" s="112"/>
      <c r="G15" s="1238"/>
    </row>
    <row r="16" spans="2:7" s="1" customFormat="1">
      <c r="B16" s="1237"/>
      <c r="C16" s="112"/>
      <c r="D16" s="112"/>
      <c r="E16" s="112"/>
      <c r="F16" s="112"/>
      <c r="G16" s="1238"/>
    </row>
    <row r="17" spans="2:7" s="1" customFormat="1" ht="15" thickBot="1">
      <c r="B17" s="1237"/>
      <c r="C17" s="112"/>
      <c r="D17" s="112"/>
      <c r="E17" s="112"/>
      <c r="F17" s="112"/>
      <c r="G17" s="1238"/>
    </row>
    <row r="18" spans="2:7" s="1" customFormat="1" ht="15" customHeight="1">
      <c r="B18" s="1772" t="s">
        <v>368</v>
      </c>
      <c r="C18" s="1773"/>
      <c r="D18" s="539" t="s">
        <v>599</v>
      </c>
      <c r="E18" s="540"/>
      <c r="F18" s="540"/>
      <c r="G18" s="1240"/>
    </row>
    <row r="19" spans="2:7" s="1" customFormat="1" ht="15" customHeight="1">
      <c r="B19" s="1774"/>
      <c r="C19" s="1775"/>
      <c r="D19" s="539" t="s">
        <v>1060</v>
      </c>
      <c r="E19" s="540"/>
      <c r="F19" s="540"/>
      <c r="G19" s="1240"/>
    </row>
    <row r="20" spans="2:7" s="1" customFormat="1" ht="15" thickBot="1">
      <c r="B20" s="1776"/>
      <c r="C20" s="1777"/>
      <c r="D20" s="539" t="s">
        <v>1012</v>
      </c>
      <c r="E20" s="539"/>
      <c r="F20" s="539"/>
      <c r="G20" s="1241"/>
    </row>
    <row r="21" spans="2:7" s="1" customFormat="1" ht="15" customHeight="1">
      <c r="B21" s="1237"/>
      <c r="C21" s="112"/>
      <c r="D21" s="112"/>
      <c r="E21" s="112"/>
      <c r="F21" s="112"/>
      <c r="G21" s="1238"/>
    </row>
    <row r="22" spans="2:7" s="1" customFormat="1" ht="15" thickBot="1">
      <c r="B22" s="1242" t="s">
        <v>360</v>
      </c>
      <c r="C22" s="1243"/>
      <c r="D22" s="1243"/>
      <c r="E22" s="1243"/>
      <c r="F22" s="1243"/>
      <c r="G22" s="1244"/>
    </row>
    <row r="23" spans="2:7" s="1" customFormat="1" ht="15" thickBot="1"/>
    <row r="24" spans="2:7" s="1" customFormat="1" ht="18.600000000000001" thickBot="1">
      <c r="B24" s="1767" t="s">
        <v>1142</v>
      </c>
      <c r="C24" s="1768"/>
      <c r="D24" s="1768"/>
      <c r="E24" s="1768"/>
      <c r="F24" s="1768"/>
      <c r="G24" s="1769"/>
    </row>
    <row r="25" spans="2:7" s="1" customFormat="1">
      <c r="B25" s="1237"/>
      <c r="C25" s="112"/>
      <c r="D25" s="112"/>
      <c r="E25" s="112"/>
      <c r="F25" s="112"/>
      <c r="G25" s="1238"/>
    </row>
    <row r="26" spans="2:7" s="1" customFormat="1">
      <c r="B26" s="1237"/>
      <c r="C26" s="1549" t="s">
        <v>1143</v>
      </c>
      <c r="D26" s="1549"/>
      <c r="E26" s="1549"/>
      <c r="F26" s="112"/>
      <c r="G26" s="1238"/>
    </row>
    <row r="27" spans="2:7" s="1" customFormat="1">
      <c r="B27" s="1237"/>
      <c r="C27" s="112" t="s">
        <v>1144</v>
      </c>
      <c r="D27" s="112"/>
      <c r="E27" s="112"/>
      <c r="F27" s="112"/>
      <c r="G27" s="1238"/>
    </row>
    <row r="28" spans="2:7" s="1" customFormat="1">
      <c r="B28" s="1237"/>
      <c r="C28" s="112" t="s">
        <v>1145</v>
      </c>
      <c r="D28" s="112"/>
      <c r="E28" s="112"/>
      <c r="F28" s="112"/>
      <c r="G28" s="1238"/>
    </row>
    <row r="29" spans="2:7" s="1" customFormat="1">
      <c r="B29" s="1237"/>
      <c r="C29" s="112" t="s">
        <v>842</v>
      </c>
      <c r="D29" s="112"/>
      <c r="E29" s="112"/>
      <c r="F29" s="112"/>
      <c r="G29" s="1238"/>
    </row>
    <row r="30" spans="2:7" s="1" customFormat="1">
      <c r="B30" s="1237"/>
      <c r="C30" s="112"/>
      <c r="D30" s="112"/>
      <c r="E30" s="112"/>
      <c r="F30" s="112"/>
      <c r="G30" s="1238"/>
    </row>
    <row r="31" spans="2:7" s="1" customFormat="1" ht="15.6">
      <c r="B31" s="1237"/>
      <c r="C31" s="1771" t="s">
        <v>1146</v>
      </c>
      <c r="D31" s="1771"/>
      <c r="E31" s="1771"/>
      <c r="F31" s="1771"/>
      <c r="G31" s="1238"/>
    </row>
    <row r="32" spans="2:7" s="1" customFormat="1" ht="74.25" customHeight="1">
      <c r="B32" s="1237"/>
      <c r="C32" s="1770" t="s">
        <v>1148</v>
      </c>
      <c r="D32" s="1770"/>
      <c r="E32" s="1770"/>
      <c r="F32" s="1770"/>
      <c r="G32" s="1238"/>
    </row>
    <row r="33" spans="2:8" s="1" customFormat="1" ht="15" thickBot="1">
      <c r="B33" s="1242"/>
      <c r="C33" s="1243"/>
      <c r="D33" s="1243" t="s">
        <v>1011</v>
      </c>
      <c r="E33" s="1243"/>
      <c r="F33" s="1243"/>
      <c r="G33" s="1244"/>
    </row>
    <row r="34" spans="2:8" s="1" customFormat="1"/>
    <row r="35" spans="2:8" s="1" customFormat="1">
      <c r="G35" s="1073" t="s">
        <v>1147</v>
      </c>
    </row>
    <row r="36" spans="2:8" s="1" customFormat="1"/>
    <row r="37" spans="2:8" s="1" customFormat="1"/>
    <row r="38" spans="2:8" s="1" customFormat="1"/>
    <row r="39" spans="2:8" s="1" customFormat="1"/>
    <row r="40" spans="2:8">
      <c r="B40" s="1"/>
      <c r="C40" s="1"/>
      <c r="D40" s="1"/>
      <c r="E40" s="1"/>
      <c r="F40" s="1"/>
      <c r="G40" s="1"/>
      <c r="H40" s="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0" spans="2:8">
      <c r="B50" s="1"/>
      <c r="C50" s="1"/>
      <c r="D50" s="1"/>
      <c r="E50" s="1"/>
      <c r="F50" s="1"/>
      <c r="G50" s="1"/>
      <c r="H50" s="1"/>
    </row>
    <row r="51" spans="2:8">
      <c r="B51" s="1"/>
      <c r="C51" s="1"/>
      <c r="D51" s="1"/>
      <c r="E51" s="1"/>
      <c r="F51" s="1"/>
      <c r="G51" s="1"/>
      <c r="H51" s="1"/>
    </row>
    <row r="52" spans="2:8">
      <c r="B52" s="1"/>
      <c r="C52" s="1"/>
      <c r="D52" s="1"/>
      <c r="E52" s="1"/>
      <c r="F52" s="1"/>
      <c r="G52" s="1"/>
      <c r="H52" s="1"/>
    </row>
    <row r="53" spans="2:8">
      <c r="B53" s="1"/>
      <c r="C53" s="1"/>
      <c r="D53" s="1"/>
      <c r="E53" s="1"/>
      <c r="F53" s="1"/>
      <c r="G53" s="1"/>
      <c r="H53" s="1"/>
    </row>
    <row r="54" spans="2:8">
      <c r="B54" s="1"/>
      <c r="C54" s="1"/>
      <c r="D54" s="1"/>
      <c r="E54" s="1"/>
      <c r="F54" s="1"/>
      <c r="G54" s="1"/>
      <c r="H54" s="1"/>
    </row>
    <row r="55" spans="2:8">
      <c r="B55" s="1"/>
      <c r="C55" s="1"/>
      <c r="D55" s="1"/>
      <c r="E55" s="1"/>
      <c r="F55" s="1"/>
      <c r="G55" s="1"/>
      <c r="H55" s="1"/>
    </row>
    <row r="56" spans="2:8">
      <c r="B56" s="1"/>
      <c r="C56" s="1"/>
      <c r="D56" s="1"/>
      <c r="E56" s="1"/>
      <c r="F56" s="1"/>
      <c r="G56" s="1"/>
      <c r="H56" s="1"/>
    </row>
    <row r="57" spans="2:8">
      <c r="B57" s="1"/>
      <c r="C57" s="1"/>
      <c r="D57" s="1"/>
      <c r="E57" s="1"/>
      <c r="F57" s="1"/>
      <c r="G57" s="1"/>
      <c r="H57" s="1"/>
    </row>
    <row r="58" spans="2:8">
      <c r="B58" s="1"/>
      <c r="C58" s="1"/>
      <c r="D58" s="1"/>
      <c r="E58" s="1"/>
      <c r="F58" s="1"/>
      <c r="G58" s="1"/>
      <c r="H58" s="1"/>
    </row>
    <row r="59" spans="2:8">
      <c r="B59" s="1"/>
      <c r="C59" s="1"/>
      <c r="D59" s="1"/>
      <c r="E59" s="1"/>
      <c r="F59" s="1"/>
      <c r="G59" s="1"/>
      <c r="H59" s="1"/>
    </row>
    <row r="60" spans="2:8">
      <c r="B60" s="1"/>
      <c r="C60" s="1"/>
      <c r="D60" s="1"/>
      <c r="E60" s="1"/>
      <c r="F60" s="1"/>
      <c r="G60" s="1"/>
      <c r="H60" s="1"/>
    </row>
    <row r="61" spans="2:8">
      <c r="B61" s="1"/>
      <c r="C61" s="1"/>
      <c r="D61" s="1"/>
      <c r="E61" s="1"/>
      <c r="F61" s="1"/>
      <c r="G61" s="1"/>
      <c r="H61" s="1"/>
    </row>
    <row r="62" spans="2:8">
      <c r="B62" s="1"/>
      <c r="C62" s="1"/>
      <c r="D62" s="1"/>
      <c r="E62" s="1"/>
      <c r="F62" s="1"/>
      <c r="G62" s="1"/>
      <c r="H62" s="1"/>
    </row>
    <row r="63" spans="2:8">
      <c r="B63" s="1"/>
      <c r="C63" s="1"/>
      <c r="D63" s="1"/>
      <c r="E63" s="1"/>
      <c r="F63" s="1"/>
      <c r="G63" s="1"/>
      <c r="H63" s="1"/>
    </row>
    <row r="64" spans="2:8">
      <c r="B64" s="1"/>
      <c r="C64" s="1"/>
      <c r="D64" s="1"/>
      <c r="E64" s="1"/>
      <c r="F64" s="1"/>
      <c r="G64" s="1"/>
      <c r="H64" s="1"/>
    </row>
    <row r="65" spans="2:8">
      <c r="B65" s="1"/>
      <c r="C65" s="1"/>
      <c r="D65" s="1"/>
      <c r="E65" s="1"/>
      <c r="F65" s="1"/>
      <c r="G65" s="1"/>
      <c r="H65" s="1"/>
    </row>
    <row r="66" spans="2:8">
      <c r="B66" s="1"/>
      <c r="C66" s="1"/>
      <c r="D66" s="1"/>
      <c r="E66" s="1"/>
      <c r="F66" s="1"/>
      <c r="G66" s="1"/>
      <c r="H66" s="1"/>
    </row>
    <row r="67" spans="2:8">
      <c r="B67" s="1"/>
      <c r="C67" s="1"/>
      <c r="D67" s="1"/>
      <c r="E67" s="1"/>
      <c r="F67" s="1"/>
      <c r="G67" s="1"/>
      <c r="H67" s="1"/>
    </row>
    <row r="68" spans="2:8">
      <c r="B68" s="1"/>
      <c r="C68" s="1"/>
      <c r="D68" s="1"/>
      <c r="E68" s="1"/>
      <c r="F68" s="1"/>
      <c r="G68" s="1"/>
      <c r="H68" s="1"/>
    </row>
    <row r="69" spans="2:8">
      <c r="B69" s="1"/>
      <c r="C69" s="1"/>
      <c r="D69" s="1"/>
      <c r="E69" s="1"/>
      <c r="F69" s="1"/>
      <c r="G69" s="1"/>
      <c r="H69" s="1"/>
    </row>
    <row r="70" spans="2:8">
      <c r="B70" s="1"/>
      <c r="C70" s="1"/>
      <c r="D70" s="1"/>
      <c r="E70" s="1"/>
      <c r="F70" s="1"/>
      <c r="G70" s="1"/>
      <c r="H70" s="1"/>
    </row>
    <row r="71" spans="2:8">
      <c r="B71" s="1"/>
      <c r="C71" s="1"/>
      <c r="D71" s="1"/>
      <c r="E71" s="1"/>
      <c r="F71" s="1"/>
      <c r="G71" s="1"/>
      <c r="H71" s="1"/>
    </row>
    <row r="72" spans="2:8">
      <c r="B72" s="1"/>
      <c r="C72" s="1"/>
      <c r="D72" s="1"/>
      <c r="E72" s="1"/>
      <c r="F72" s="1"/>
      <c r="G72" s="1"/>
      <c r="H72" s="1"/>
    </row>
    <row r="73" spans="2:8">
      <c r="B73" s="1"/>
      <c r="C73" s="1"/>
      <c r="D73" s="1"/>
      <c r="E73" s="1"/>
      <c r="F73" s="1"/>
      <c r="G73" s="1"/>
      <c r="H73" s="1"/>
    </row>
    <row r="74" spans="2:8">
      <c r="B74" s="1"/>
      <c r="C74" s="1"/>
      <c r="D74" s="1"/>
      <c r="E74" s="1"/>
      <c r="F74" s="1"/>
      <c r="G74" s="1"/>
      <c r="H74" s="1"/>
    </row>
    <row r="75" spans="2:8">
      <c r="B75" s="1"/>
      <c r="C75" s="1"/>
      <c r="D75" s="1"/>
      <c r="E75" s="1"/>
      <c r="F75" s="1"/>
      <c r="G75" s="1"/>
      <c r="H75" s="1"/>
    </row>
    <row r="76" spans="2:8">
      <c r="B76" s="1"/>
      <c r="C76" s="1"/>
      <c r="D76" s="1"/>
      <c r="E76" s="1"/>
      <c r="F76" s="1"/>
      <c r="G76" s="1"/>
      <c r="H76" s="1"/>
    </row>
    <row r="77" spans="2:8">
      <c r="B77" s="1"/>
      <c r="C77" s="1"/>
      <c r="D77" s="1"/>
      <c r="E77" s="1"/>
      <c r="F77" s="1"/>
      <c r="G77" s="1"/>
      <c r="H77" s="1"/>
    </row>
    <row r="78" spans="2:8">
      <c r="B78" s="1"/>
      <c r="C78" s="1"/>
      <c r="D78" s="1"/>
      <c r="E78" s="1"/>
      <c r="F78" s="1"/>
      <c r="G78" s="1"/>
      <c r="H78" s="1"/>
    </row>
    <row r="79" spans="2:8">
      <c r="B79" s="1"/>
      <c r="C79" s="1"/>
      <c r="D79" s="1"/>
      <c r="E79" s="1"/>
      <c r="F79" s="1"/>
      <c r="G79" s="1"/>
      <c r="H79" s="1"/>
    </row>
    <row r="80" spans="2:8">
      <c r="B80" s="1"/>
      <c r="C80" s="1"/>
      <c r="D80" s="1"/>
      <c r="E80" s="1"/>
      <c r="F80" s="1"/>
      <c r="G80" s="1"/>
      <c r="H80" s="1"/>
    </row>
    <row r="81" spans="2:8">
      <c r="B81" s="1"/>
      <c r="C81" s="1"/>
      <c r="D81" s="1"/>
      <c r="E81" s="1"/>
      <c r="F81" s="1"/>
      <c r="G81" s="1"/>
      <c r="H81" s="1"/>
    </row>
    <row r="82" spans="2:8">
      <c r="B82" s="1"/>
      <c r="C82" s="1"/>
      <c r="D82" s="1"/>
      <c r="E82" s="1"/>
      <c r="F82" s="1"/>
      <c r="G82" s="1"/>
      <c r="H82" s="1"/>
    </row>
    <row r="83" spans="2:8">
      <c r="B83" s="1"/>
      <c r="C83" s="1"/>
      <c r="D83" s="1"/>
      <c r="E83" s="1"/>
      <c r="F83" s="1"/>
      <c r="G83" s="1"/>
      <c r="H83" s="1"/>
    </row>
    <row r="84" spans="2:8">
      <c r="B84" s="1"/>
      <c r="C84" s="1"/>
      <c r="D84" s="1"/>
      <c r="E84" s="1"/>
      <c r="F84" s="1"/>
      <c r="G84" s="1"/>
      <c r="H84" s="1"/>
    </row>
    <row r="85" spans="2:8">
      <c r="B85" s="1"/>
      <c r="C85" s="1"/>
      <c r="D85" s="1"/>
      <c r="E85" s="1"/>
      <c r="F85" s="1"/>
      <c r="G85" s="1"/>
      <c r="H85" s="1"/>
    </row>
    <row r="86" spans="2:8">
      <c r="B86" s="1"/>
      <c r="C86" s="1"/>
      <c r="D86" s="1"/>
      <c r="E86" s="1"/>
      <c r="F86" s="1"/>
      <c r="G86" s="1"/>
      <c r="H86" s="1"/>
    </row>
    <row r="87" spans="2:8">
      <c r="B87" s="1"/>
      <c r="C87" s="1"/>
      <c r="D87" s="1"/>
      <c r="E87" s="1"/>
      <c r="F87" s="1"/>
      <c r="G87" s="1"/>
      <c r="H87" s="1"/>
    </row>
    <row r="88" spans="2:8">
      <c r="B88" s="1"/>
      <c r="C88" s="1"/>
      <c r="D88" s="1"/>
      <c r="E88" s="1"/>
      <c r="F88" s="1"/>
      <c r="G88" s="1"/>
      <c r="H88" s="1"/>
    </row>
    <row r="89" spans="2:8">
      <c r="B89" s="1"/>
      <c r="C89" s="1"/>
      <c r="D89" s="1"/>
      <c r="E89" s="1"/>
      <c r="F89" s="1"/>
      <c r="G89" s="1"/>
      <c r="H89" s="1"/>
    </row>
    <row r="90" spans="2:8">
      <c r="B90" s="1"/>
      <c r="C90" s="1"/>
      <c r="D90" s="1"/>
      <c r="E90" s="1"/>
      <c r="F90" s="1"/>
      <c r="G90" s="1"/>
      <c r="H90" s="1"/>
    </row>
    <row r="91" spans="2:8">
      <c r="B91" s="1"/>
      <c r="C91" s="1"/>
      <c r="D91" s="1"/>
      <c r="E91" s="1"/>
      <c r="F91" s="1"/>
      <c r="G91" s="1"/>
      <c r="H91" s="1"/>
    </row>
    <row r="92" spans="2:8">
      <c r="B92" s="1"/>
      <c r="C92" s="1"/>
      <c r="D92" s="1"/>
      <c r="E92" s="1"/>
      <c r="F92" s="1"/>
      <c r="G92" s="1"/>
      <c r="H92" s="1"/>
    </row>
    <row r="93" spans="2:8">
      <c r="B93" s="1"/>
      <c r="C93" s="1"/>
      <c r="D93" s="1"/>
      <c r="E93" s="1"/>
      <c r="F93" s="1"/>
      <c r="G93" s="1"/>
      <c r="H93" s="1"/>
    </row>
    <row r="94" spans="2:8">
      <c r="B94" s="1"/>
      <c r="C94" s="1"/>
      <c r="D94" s="1"/>
      <c r="E94" s="1"/>
      <c r="F94" s="1"/>
      <c r="G94" s="1"/>
      <c r="H94" s="1"/>
    </row>
    <row r="95" spans="2:8">
      <c r="B95" s="1"/>
      <c r="C95" s="1"/>
      <c r="D95" s="1"/>
      <c r="E95" s="1"/>
      <c r="F95" s="1"/>
      <c r="G95" s="1"/>
      <c r="H95" s="1"/>
    </row>
    <row r="96" spans="2:8">
      <c r="B96" s="1"/>
      <c r="C96" s="1"/>
      <c r="D96" s="1"/>
      <c r="E96" s="1"/>
      <c r="F96" s="1"/>
      <c r="G96" s="1"/>
      <c r="H96" s="1"/>
    </row>
    <row r="97" spans="2:8">
      <c r="B97" s="1"/>
      <c r="C97" s="1"/>
      <c r="D97" s="1"/>
      <c r="E97" s="1"/>
      <c r="F97" s="1"/>
      <c r="G97" s="1"/>
      <c r="H97" s="1"/>
    </row>
    <row r="98" spans="2:8">
      <c r="B98" s="1"/>
      <c r="C98" s="1"/>
      <c r="D98" s="1"/>
      <c r="E98" s="1"/>
      <c r="F98" s="1"/>
      <c r="G98" s="1"/>
      <c r="H98" s="1"/>
    </row>
    <row r="99" spans="2:8">
      <c r="B99" s="1"/>
      <c r="C99" s="1"/>
      <c r="D99" s="1"/>
      <c r="E99" s="1"/>
      <c r="F99" s="1"/>
      <c r="G99" s="1"/>
      <c r="H99" s="1"/>
    </row>
    <row r="100" spans="2:8">
      <c r="B100" s="1"/>
      <c r="C100" s="1"/>
      <c r="D100" s="1"/>
      <c r="E100" s="1"/>
      <c r="F100" s="1"/>
      <c r="G100" s="1"/>
      <c r="H100" s="1"/>
    </row>
    <row r="101" spans="2:8">
      <c r="B101" s="1"/>
      <c r="C101" s="1"/>
      <c r="D101" s="1"/>
      <c r="E101" s="1"/>
      <c r="F101" s="1"/>
      <c r="G101" s="1"/>
      <c r="H101" s="1"/>
    </row>
    <row r="102" spans="2:8">
      <c r="B102" s="1"/>
      <c r="C102" s="1"/>
      <c r="D102" s="1"/>
      <c r="E102" s="1"/>
      <c r="F102" s="1"/>
      <c r="G102" s="1"/>
      <c r="H102" s="1"/>
    </row>
    <row r="103" spans="2:8">
      <c r="B103" s="1"/>
      <c r="C103" s="1"/>
      <c r="D103" s="1"/>
      <c r="E103" s="1"/>
      <c r="F103" s="1"/>
      <c r="G103" s="1"/>
      <c r="H103" s="1"/>
    </row>
    <row r="104" spans="2:8">
      <c r="B104" s="1"/>
      <c r="C104" s="1"/>
      <c r="D104" s="1"/>
      <c r="E104" s="1"/>
      <c r="F104" s="1"/>
      <c r="G104" s="1"/>
      <c r="H104" s="1"/>
    </row>
    <row r="105" spans="2:8">
      <c r="B105" s="1"/>
      <c r="C105" s="1"/>
      <c r="D105" s="1"/>
      <c r="E105" s="1"/>
      <c r="F105" s="1"/>
      <c r="G105" s="1"/>
      <c r="H105" s="1"/>
    </row>
    <row r="106" spans="2:8">
      <c r="B106" s="1"/>
      <c r="C106" s="1"/>
      <c r="D106" s="1"/>
      <c r="E106" s="1"/>
      <c r="F106" s="1"/>
      <c r="G106" s="1"/>
      <c r="H106" s="1"/>
    </row>
    <row r="107" spans="2:8">
      <c r="B107" s="1"/>
      <c r="C107" s="1"/>
      <c r="D107" s="1"/>
      <c r="E107" s="1"/>
      <c r="F107" s="1"/>
      <c r="G107" s="1"/>
      <c r="H107" s="1"/>
    </row>
    <row r="108" spans="2:8">
      <c r="B108" s="1"/>
      <c r="C108" s="1"/>
      <c r="D108" s="1"/>
      <c r="E108" s="1"/>
      <c r="F108" s="1"/>
      <c r="G108" s="1"/>
      <c r="H108" s="1"/>
    </row>
    <row r="109" spans="2:8">
      <c r="B109" s="1"/>
      <c r="C109" s="1"/>
      <c r="D109" s="1"/>
      <c r="E109" s="1"/>
      <c r="F109" s="1"/>
      <c r="G109" s="1"/>
      <c r="H109" s="1"/>
    </row>
    <row r="110" spans="2:8">
      <c r="B110" s="1"/>
      <c r="C110" s="1"/>
      <c r="D110" s="1"/>
      <c r="E110" s="1"/>
      <c r="F110" s="1"/>
      <c r="G110" s="1"/>
      <c r="H110" s="1"/>
    </row>
    <row r="111" spans="2:8">
      <c r="B111" s="1"/>
      <c r="C111" s="1"/>
      <c r="D111" s="1"/>
      <c r="E111" s="1"/>
      <c r="F111" s="1"/>
      <c r="G111" s="1"/>
      <c r="H111" s="1"/>
    </row>
    <row r="112" spans="2:8">
      <c r="B112" s="1"/>
      <c r="C112" s="1"/>
      <c r="D112" s="1"/>
      <c r="E112" s="1"/>
      <c r="F112" s="1"/>
      <c r="G112" s="1"/>
      <c r="H112" s="1"/>
    </row>
    <row r="113" spans="2:8">
      <c r="B113" s="1"/>
      <c r="C113" s="1"/>
      <c r="D113" s="1"/>
      <c r="E113" s="1"/>
      <c r="F113" s="1"/>
      <c r="G113" s="1"/>
      <c r="H113" s="1"/>
    </row>
    <row r="114" spans="2:8">
      <c r="B114" s="1"/>
      <c r="C114" s="1"/>
      <c r="D114" s="1"/>
      <c r="E114" s="1"/>
      <c r="F114" s="1"/>
      <c r="G114" s="1"/>
      <c r="H114" s="1"/>
    </row>
    <row r="115" spans="2:8">
      <c r="B115" s="1"/>
      <c r="C115" s="1"/>
      <c r="D115" s="1"/>
      <c r="E115" s="1"/>
      <c r="F115" s="1"/>
      <c r="G115" s="1"/>
      <c r="H115" s="1"/>
    </row>
    <row r="116" spans="2:8">
      <c r="B116" s="1"/>
      <c r="C116" s="1"/>
      <c r="D116" s="1"/>
      <c r="E116" s="1"/>
      <c r="F116" s="1"/>
      <c r="G116" s="1"/>
      <c r="H116" s="1"/>
    </row>
    <row r="117" spans="2:8">
      <c r="B117" s="1"/>
      <c r="C117" s="1"/>
      <c r="D117" s="1"/>
      <c r="E117" s="1"/>
      <c r="F117" s="1"/>
      <c r="G117" s="1"/>
      <c r="H117" s="1"/>
    </row>
    <row r="118" spans="2:8">
      <c r="B118" s="1"/>
      <c r="C118" s="1"/>
      <c r="D118" s="1"/>
      <c r="E118" s="1"/>
      <c r="F118" s="1"/>
      <c r="G118" s="1"/>
      <c r="H118" s="1"/>
    </row>
    <row r="119" spans="2:8">
      <c r="B119" s="1"/>
      <c r="C119" s="1"/>
      <c r="D119" s="1"/>
      <c r="E119" s="1"/>
      <c r="F119" s="1"/>
      <c r="G119" s="1"/>
      <c r="H119" s="1"/>
    </row>
    <row r="120" spans="2:8">
      <c r="B120" s="1"/>
      <c r="C120" s="1"/>
      <c r="D120" s="1"/>
      <c r="E120" s="1"/>
      <c r="F120" s="1"/>
      <c r="G120" s="1"/>
      <c r="H120" s="1"/>
    </row>
    <row r="121" spans="2:8">
      <c r="B121" s="1"/>
      <c r="C121" s="1"/>
      <c r="D121" s="1"/>
      <c r="E121" s="1"/>
      <c r="F121" s="1"/>
      <c r="G121" s="1"/>
      <c r="H121" s="1"/>
    </row>
    <row r="122" spans="2:8">
      <c r="B122" s="1"/>
      <c r="C122" s="1"/>
      <c r="D122" s="1"/>
      <c r="E122" s="1"/>
      <c r="F122" s="1"/>
      <c r="G122" s="1"/>
      <c r="H122" s="1"/>
    </row>
    <row r="123" spans="2:8">
      <c r="B123" s="1"/>
      <c r="C123" s="1"/>
      <c r="D123" s="1"/>
      <c r="E123" s="1"/>
      <c r="F123" s="1"/>
      <c r="G123" s="1"/>
      <c r="H123" s="1"/>
    </row>
    <row r="124" spans="2:8">
      <c r="B124" s="1"/>
      <c r="C124" s="1"/>
      <c r="D124" s="1"/>
      <c r="E124" s="1"/>
      <c r="F124" s="1"/>
      <c r="G124" s="1"/>
      <c r="H124" s="1"/>
    </row>
    <row r="125" spans="2:8">
      <c r="B125" s="1"/>
      <c r="C125" s="1"/>
      <c r="D125" s="1"/>
      <c r="E125" s="1"/>
      <c r="F125" s="1"/>
      <c r="G125" s="1"/>
      <c r="H125" s="1"/>
    </row>
    <row r="126" spans="2:8">
      <c r="B126" s="1"/>
      <c r="C126" s="1"/>
      <c r="D126" s="1"/>
      <c r="E126" s="1"/>
      <c r="F126" s="1"/>
      <c r="G126" s="1"/>
      <c r="H126" s="1"/>
    </row>
    <row r="127" spans="2:8">
      <c r="B127" s="1"/>
      <c r="C127" s="1"/>
      <c r="D127" s="1"/>
      <c r="E127" s="1"/>
      <c r="F127" s="1"/>
      <c r="G127" s="1"/>
      <c r="H127" s="1"/>
    </row>
    <row r="128" spans="2:8">
      <c r="B128" s="1"/>
      <c r="C128" s="1"/>
      <c r="D128" s="1"/>
      <c r="E128" s="1"/>
      <c r="F128" s="1"/>
      <c r="G128" s="1"/>
      <c r="H128" s="1"/>
    </row>
    <row r="129" spans="2:8">
      <c r="B129" s="1"/>
      <c r="C129" s="1"/>
      <c r="D129" s="1"/>
      <c r="E129" s="1"/>
      <c r="F129" s="1"/>
      <c r="G129" s="1"/>
      <c r="H129" s="1"/>
    </row>
    <row r="130" spans="2:8">
      <c r="B130" s="1"/>
      <c r="C130" s="1"/>
      <c r="D130" s="1"/>
      <c r="E130" s="1"/>
      <c r="F130" s="1"/>
      <c r="G130" s="1"/>
      <c r="H130" s="1"/>
    </row>
    <row r="131" spans="2:8">
      <c r="B131" s="1"/>
      <c r="C131" s="1"/>
      <c r="D131" s="1"/>
      <c r="E131" s="1"/>
      <c r="F131" s="1"/>
      <c r="G131" s="1"/>
      <c r="H131" s="1"/>
    </row>
    <row r="132" spans="2:8">
      <c r="B132" s="1"/>
      <c r="C132" s="1"/>
      <c r="D132" s="1"/>
      <c r="E132" s="1"/>
      <c r="F132" s="1"/>
      <c r="G132" s="1"/>
      <c r="H132" s="1"/>
    </row>
    <row r="133" spans="2:8">
      <c r="B133" s="1"/>
      <c r="C133" s="1"/>
      <c r="D133" s="1"/>
      <c r="E133" s="1"/>
      <c r="F133" s="1"/>
      <c r="G133" s="1"/>
      <c r="H133" s="1"/>
    </row>
    <row r="134" spans="2:8">
      <c r="B134" s="1"/>
      <c r="C134" s="1"/>
      <c r="D134" s="1"/>
      <c r="E134" s="1"/>
      <c r="F134" s="1"/>
      <c r="G134" s="1"/>
      <c r="H134" s="1"/>
    </row>
    <row r="135" spans="2:8">
      <c r="B135" s="1"/>
      <c r="C135" s="1"/>
      <c r="D135" s="1"/>
      <c r="E135" s="1"/>
      <c r="F135" s="1"/>
      <c r="G135" s="1"/>
      <c r="H135" s="1"/>
    </row>
    <row r="136" spans="2:8">
      <c r="B136" s="1"/>
      <c r="C136" s="1"/>
      <c r="D136" s="1"/>
      <c r="E136" s="1"/>
      <c r="F136" s="1"/>
      <c r="G136" s="1"/>
      <c r="H136" s="1"/>
    </row>
    <row r="137" spans="2:8">
      <c r="B137" s="1"/>
      <c r="C137" s="1"/>
      <c r="D137" s="1"/>
      <c r="E137" s="1"/>
      <c r="F137" s="1"/>
      <c r="G137" s="1"/>
      <c r="H137" s="1"/>
    </row>
    <row r="138" spans="2:8">
      <c r="B138" s="1"/>
      <c r="C138" s="1"/>
      <c r="D138" s="1"/>
      <c r="E138" s="1"/>
      <c r="F138" s="1"/>
      <c r="G138" s="1"/>
      <c r="H138" s="1"/>
    </row>
    <row r="139" spans="2:8">
      <c r="B139" s="1"/>
      <c r="C139" s="1"/>
      <c r="D139" s="1"/>
      <c r="E139" s="1"/>
      <c r="F139" s="1"/>
      <c r="G139" s="1"/>
      <c r="H139" s="1"/>
    </row>
    <row r="140" spans="2:8">
      <c r="B140" s="1"/>
      <c r="C140" s="1"/>
      <c r="D140" s="1"/>
      <c r="E140" s="1"/>
      <c r="F140" s="1"/>
      <c r="G140" s="1"/>
      <c r="H140" s="1"/>
    </row>
    <row r="141" spans="2:8">
      <c r="B141" s="1"/>
      <c r="C141" s="1"/>
      <c r="D141" s="1"/>
      <c r="E141" s="1"/>
      <c r="F141" s="1"/>
      <c r="G141" s="1"/>
      <c r="H141" s="1"/>
    </row>
    <row r="142" spans="2:8">
      <c r="B142" s="1"/>
      <c r="C142" s="1"/>
      <c r="D142" s="1"/>
      <c r="E142" s="1"/>
      <c r="F142" s="1"/>
      <c r="G142" s="1"/>
      <c r="H142" s="1"/>
    </row>
    <row r="143" spans="2:8">
      <c r="B143" s="1"/>
      <c r="C143" s="1"/>
      <c r="D143" s="1"/>
      <c r="E143" s="1"/>
      <c r="F143" s="1"/>
      <c r="G143" s="1"/>
      <c r="H143" s="1"/>
    </row>
    <row r="144" spans="2:8">
      <c r="B144" s="1"/>
      <c r="C144" s="1"/>
      <c r="D144" s="1"/>
      <c r="E144" s="1"/>
      <c r="F144" s="1"/>
      <c r="G144" s="1"/>
      <c r="H144" s="1"/>
    </row>
    <row r="145" spans="2:8">
      <c r="B145" s="1"/>
      <c r="C145" s="1"/>
      <c r="D145" s="1"/>
      <c r="E145" s="1"/>
      <c r="F145" s="1"/>
      <c r="G145" s="1"/>
      <c r="H145" s="1"/>
    </row>
    <row r="146" spans="2:8">
      <c r="B146" s="1"/>
      <c r="C146" s="1"/>
      <c r="D146" s="1"/>
      <c r="E146" s="1"/>
      <c r="F146" s="1"/>
      <c r="G146" s="1"/>
      <c r="H146" s="1"/>
    </row>
    <row r="147" spans="2:8">
      <c r="B147" s="1"/>
      <c r="C147" s="1"/>
      <c r="D147" s="1"/>
      <c r="E147" s="1"/>
      <c r="F147" s="1"/>
      <c r="G147" s="1"/>
      <c r="H147" s="1"/>
    </row>
    <row r="148" spans="2:8">
      <c r="B148" s="1"/>
      <c r="C148" s="1"/>
      <c r="D148" s="1"/>
      <c r="E148" s="1"/>
      <c r="F148" s="1"/>
      <c r="G148" s="1"/>
      <c r="H148" s="1"/>
    </row>
    <row r="149" spans="2:8">
      <c r="B149" s="1"/>
      <c r="C149" s="1"/>
      <c r="D149" s="1"/>
      <c r="E149" s="1"/>
      <c r="F149" s="1"/>
      <c r="G149" s="1"/>
      <c r="H149" s="1"/>
    </row>
    <row r="150" spans="2:8">
      <c r="B150" s="1"/>
      <c r="C150" s="1"/>
      <c r="D150" s="1"/>
      <c r="E150" s="1"/>
      <c r="F150" s="1"/>
      <c r="G150" s="1"/>
      <c r="H150" s="1"/>
    </row>
    <row r="151" spans="2:8">
      <c r="B151" s="1"/>
      <c r="C151" s="1"/>
      <c r="D151" s="1"/>
      <c r="E151" s="1"/>
      <c r="F151" s="1"/>
      <c r="G151" s="1"/>
      <c r="H151" s="1"/>
    </row>
    <row r="152" spans="2:8">
      <c r="B152" s="1"/>
      <c r="C152" s="1"/>
      <c r="D152" s="1"/>
      <c r="E152" s="1"/>
      <c r="F152" s="1"/>
      <c r="G152" s="1"/>
      <c r="H152" s="1"/>
    </row>
    <row r="153" spans="2:8">
      <c r="B153" s="1"/>
      <c r="C153" s="1"/>
      <c r="D153" s="1"/>
      <c r="E153" s="1"/>
      <c r="F153" s="1"/>
      <c r="G153" s="1"/>
      <c r="H153" s="1"/>
    </row>
    <row r="154" spans="2:8">
      <c r="B154" s="1"/>
      <c r="C154" s="1"/>
      <c r="D154" s="1"/>
      <c r="E154" s="1"/>
      <c r="F154" s="1"/>
      <c r="G154" s="1"/>
      <c r="H154" s="1"/>
    </row>
    <row r="155" spans="2:8">
      <c r="B155" s="1"/>
      <c r="C155" s="1"/>
      <c r="D155" s="1"/>
      <c r="E155" s="1"/>
      <c r="F155" s="1"/>
      <c r="G155" s="1"/>
      <c r="H155" s="1"/>
    </row>
    <row r="156" spans="2:8">
      <c r="B156" s="1"/>
      <c r="C156" s="1"/>
      <c r="D156" s="1"/>
      <c r="E156" s="1"/>
      <c r="F156" s="1"/>
      <c r="G156" s="1"/>
      <c r="H156" s="1"/>
    </row>
    <row r="157" spans="2:8">
      <c r="B157" s="1"/>
      <c r="C157" s="1"/>
      <c r="D157" s="1"/>
      <c r="E157" s="1"/>
      <c r="F157" s="1"/>
      <c r="G157" s="1"/>
      <c r="H157" s="1"/>
    </row>
    <row r="158" spans="2:8">
      <c r="B158" s="1"/>
      <c r="C158" s="1"/>
      <c r="D158" s="1"/>
      <c r="E158" s="1"/>
      <c r="F158" s="1"/>
      <c r="G158" s="1"/>
      <c r="H158" s="1"/>
    </row>
    <row r="159" spans="2:8">
      <c r="B159" s="1"/>
      <c r="C159" s="1"/>
      <c r="D159" s="1"/>
      <c r="E159" s="1"/>
      <c r="F159" s="1"/>
      <c r="G159" s="1"/>
      <c r="H159" s="1"/>
    </row>
    <row r="160" spans="2:8">
      <c r="B160" s="1"/>
      <c r="C160" s="1"/>
      <c r="D160" s="1"/>
      <c r="E160" s="1"/>
      <c r="F160" s="1"/>
      <c r="G160" s="1"/>
      <c r="H160" s="1"/>
    </row>
    <row r="161" spans="2:8">
      <c r="B161" s="1"/>
      <c r="C161" s="1"/>
      <c r="D161" s="1"/>
      <c r="E161" s="1"/>
      <c r="F161" s="1"/>
      <c r="G161" s="1"/>
      <c r="H161" s="1"/>
    </row>
    <row r="162" spans="2:8">
      <c r="B162" s="1"/>
      <c r="C162" s="1"/>
      <c r="D162" s="1"/>
      <c r="E162" s="1"/>
      <c r="F162" s="1"/>
      <c r="G162" s="1"/>
      <c r="H162" s="1"/>
    </row>
    <row r="163" spans="2:8">
      <c r="B163" s="1"/>
      <c r="C163" s="1"/>
      <c r="D163" s="1"/>
      <c r="E163" s="1"/>
      <c r="F163" s="1"/>
      <c r="G163" s="1"/>
      <c r="H163" s="1"/>
    </row>
    <row r="164" spans="2:8">
      <c r="B164" s="1"/>
      <c r="C164" s="1"/>
      <c r="D164" s="1"/>
      <c r="E164" s="1"/>
      <c r="F164" s="1"/>
      <c r="G164" s="1"/>
      <c r="H164" s="1"/>
    </row>
    <row r="165" spans="2:8">
      <c r="B165" s="1"/>
      <c r="C165" s="1"/>
      <c r="D165" s="1"/>
      <c r="E165" s="1"/>
      <c r="F165" s="1"/>
      <c r="G165" s="1"/>
      <c r="H165" s="1"/>
    </row>
    <row r="166" spans="2:8">
      <c r="B166" s="1"/>
      <c r="C166" s="1"/>
      <c r="D166" s="1"/>
      <c r="E166" s="1"/>
      <c r="F166" s="1"/>
      <c r="G166" s="1"/>
      <c r="H166" s="1"/>
    </row>
    <row r="167" spans="2:8">
      <c r="B167" s="1"/>
      <c r="C167" s="1"/>
      <c r="D167" s="1"/>
      <c r="E167" s="1"/>
      <c r="F167" s="1"/>
      <c r="G167" s="1"/>
      <c r="H167" s="1"/>
    </row>
    <row r="168" spans="2:8">
      <c r="B168" s="1"/>
      <c r="C168" s="1"/>
      <c r="D168" s="1"/>
      <c r="E168" s="1"/>
      <c r="F168" s="1"/>
      <c r="G168" s="1"/>
      <c r="H168" s="1"/>
    </row>
    <row r="169" spans="2:8">
      <c r="B169" s="1"/>
      <c r="C169" s="1"/>
      <c r="D169" s="1"/>
      <c r="E169" s="1"/>
      <c r="F169" s="1"/>
      <c r="G169" s="1"/>
      <c r="H169" s="1"/>
    </row>
    <row r="170" spans="2:8">
      <c r="B170" s="1"/>
      <c r="C170" s="1"/>
      <c r="D170" s="1"/>
      <c r="E170" s="1"/>
      <c r="F170" s="1"/>
      <c r="G170" s="1"/>
      <c r="H170" s="1"/>
    </row>
    <row r="171" spans="2:8">
      <c r="B171" s="1"/>
      <c r="C171" s="1"/>
      <c r="D171" s="1"/>
      <c r="E171" s="1"/>
      <c r="F171" s="1"/>
      <c r="G171" s="1"/>
      <c r="H171" s="1"/>
    </row>
    <row r="172" spans="2:8">
      <c r="B172" s="1"/>
      <c r="C172" s="1"/>
      <c r="D172" s="1"/>
      <c r="E172" s="1"/>
      <c r="F172" s="1"/>
      <c r="G172" s="1"/>
      <c r="H172" s="1"/>
    </row>
    <row r="173" spans="2:8">
      <c r="B173" s="1"/>
      <c r="C173" s="1"/>
      <c r="D173" s="1"/>
      <c r="E173" s="1"/>
      <c r="F173" s="1"/>
      <c r="G173" s="1"/>
      <c r="H173" s="1"/>
    </row>
    <row r="174" spans="2:8">
      <c r="B174" s="1"/>
      <c r="C174" s="1"/>
      <c r="D174" s="1"/>
      <c r="E174" s="1"/>
      <c r="F174" s="1"/>
      <c r="G174" s="1"/>
      <c r="H174" s="1"/>
    </row>
    <row r="175" spans="2:8">
      <c r="B175" s="1"/>
      <c r="C175" s="1"/>
      <c r="D175" s="1"/>
      <c r="E175" s="1"/>
      <c r="F175" s="1"/>
      <c r="G175" s="1"/>
      <c r="H175" s="1"/>
    </row>
    <row r="176" spans="2:8">
      <c r="B176" s="1"/>
      <c r="C176" s="1"/>
      <c r="D176" s="1"/>
      <c r="E176" s="1"/>
      <c r="F176" s="1"/>
      <c r="G176" s="1"/>
      <c r="H176" s="1"/>
    </row>
    <row r="177" spans="2:8">
      <c r="B177" s="1"/>
      <c r="C177" s="1"/>
      <c r="D177" s="1"/>
      <c r="E177" s="1"/>
      <c r="F177" s="1"/>
      <c r="G177" s="1"/>
      <c r="H177" s="1"/>
    </row>
    <row r="178" spans="2:8">
      <c r="B178" s="1"/>
      <c r="C178" s="1"/>
      <c r="D178" s="1"/>
      <c r="E178" s="1"/>
      <c r="F178" s="1"/>
      <c r="G178" s="1"/>
      <c r="H178" s="1"/>
    </row>
    <row r="179" spans="2:8">
      <c r="B179" s="1"/>
      <c r="C179" s="1"/>
      <c r="D179" s="1"/>
      <c r="E179" s="1"/>
      <c r="F179" s="1"/>
      <c r="G179" s="1"/>
      <c r="H179" s="1"/>
    </row>
    <row r="180" spans="2:8">
      <c r="B180" s="1"/>
      <c r="C180" s="1"/>
      <c r="D180" s="1"/>
      <c r="E180" s="1"/>
      <c r="F180" s="1"/>
      <c r="G180" s="1"/>
      <c r="H180" s="1"/>
    </row>
    <row r="181" spans="2:8">
      <c r="B181" s="1"/>
      <c r="C181" s="1"/>
      <c r="D181" s="1"/>
      <c r="E181" s="1"/>
      <c r="F181" s="1"/>
      <c r="G181" s="1"/>
      <c r="H181" s="1"/>
    </row>
    <row r="182" spans="2:8">
      <c r="B182" s="1"/>
      <c r="C182" s="1"/>
      <c r="D182" s="1"/>
      <c r="E182" s="1"/>
      <c r="F182" s="1"/>
      <c r="G182" s="1"/>
      <c r="H182" s="1"/>
    </row>
    <row r="183" spans="2:8">
      <c r="B183" s="1"/>
      <c r="C183" s="1"/>
      <c r="D183" s="1"/>
      <c r="E183" s="1"/>
      <c r="F183" s="1"/>
      <c r="G183" s="1"/>
      <c r="H183" s="1"/>
    </row>
    <row r="184" spans="2:8">
      <c r="B184" s="1"/>
      <c r="C184" s="1"/>
      <c r="D184" s="1"/>
      <c r="E184" s="1"/>
      <c r="F184" s="1"/>
      <c r="G184" s="1"/>
      <c r="H184" s="1"/>
    </row>
    <row r="185" spans="2:8">
      <c r="B185" s="1"/>
      <c r="C185" s="1"/>
      <c r="D185" s="1"/>
      <c r="E185" s="1"/>
      <c r="F185" s="1"/>
      <c r="G185" s="1"/>
      <c r="H185" s="1"/>
    </row>
    <row r="186" spans="2:8">
      <c r="B186" s="1"/>
      <c r="C186" s="1"/>
      <c r="D186" s="1"/>
      <c r="E186" s="1"/>
      <c r="F186" s="1"/>
      <c r="G186" s="1"/>
      <c r="H186" s="1"/>
    </row>
    <row r="187" spans="2:8">
      <c r="B187" s="1"/>
      <c r="C187" s="1"/>
      <c r="D187" s="1"/>
      <c r="E187" s="1"/>
      <c r="F187" s="1"/>
      <c r="G187" s="1"/>
      <c r="H187" s="1"/>
    </row>
    <row r="188" spans="2:8">
      <c r="B188" s="1"/>
      <c r="C188" s="1"/>
      <c r="D188" s="1"/>
      <c r="E188" s="1"/>
      <c r="F188" s="1"/>
      <c r="G188" s="1"/>
      <c r="H188" s="1"/>
    </row>
    <row r="189" spans="2:8">
      <c r="B189" s="1"/>
      <c r="C189" s="1"/>
      <c r="D189" s="1"/>
      <c r="E189" s="1"/>
      <c r="F189" s="1"/>
      <c r="G189" s="1"/>
      <c r="H189" s="1"/>
    </row>
    <row r="190" spans="2:8">
      <c r="B190" s="1"/>
      <c r="C190" s="1"/>
      <c r="D190" s="1"/>
      <c r="E190" s="1"/>
      <c r="F190" s="1"/>
      <c r="G190" s="1"/>
      <c r="H190" s="1"/>
    </row>
    <row r="191" spans="2:8">
      <c r="B191" s="1"/>
      <c r="C191" s="1"/>
      <c r="D191" s="1"/>
      <c r="E191" s="1"/>
      <c r="F191" s="1"/>
      <c r="G191" s="1"/>
      <c r="H191" s="1"/>
    </row>
    <row r="192" spans="2:8">
      <c r="B192" s="1"/>
      <c r="C192" s="1"/>
      <c r="D192" s="1"/>
      <c r="E192" s="1"/>
      <c r="F192" s="1"/>
      <c r="G192" s="1"/>
      <c r="H192" s="1"/>
    </row>
    <row r="193" spans="2:8">
      <c r="B193" s="1"/>
      <c r="C193" s="1"/>
      <c r="D193" s="1"/>
      <c r="E193" s="1"/>
      <c r="F193" s="1"/>
      <c r="G193" s="1"/>
      <c r="H193" s="1"/>
    </row>
    <row r="194" spans="2:8">
      <c r="B194" s="1"/>
      <c r="C194" s="1"/>
      <c r="D194" s="1"/>
      <c r="E194" s="1"/>
      <c r="F194" s="1"/>
      <c r="G194" s="1"/>
      <c r="H194" s="1"/>
    </row>
    <row r="195" spans="2:8">
      <c r="B195" s="1"/>
      <c r="C195" s="1"/>
      <c r="D195" s="1"/>
      <c r="E195" s="1"/>
      <c r="F195" s="1"/>
      <c r="G195" s="1"/>
      <c r="H195" s="1"/>
    </row>
    <row r="196" spans="2:8">
      <c r="B196" s="1"/>
      <c r="C196" s="1"/>
      <c r="D196" s="1"/>
      <c r="E196" s="1"/>
      <c r="F196" s="1"/>
      <c r="G196" s="1"/>
      <c r="H196" s="1"/>
    </row>
    <row r="197" spans="2:8">
      <c r="B197" s="1"/>
      <c r="C197" s="1"/>
      <c r="D197" s="1"/>
      <c r="E197" s="1"/>
      <c r="F197" s="1"/>
      <c r="G197" s="1"/>
      <c r="H197" s="1"/>
    </row>
    <row r="198" spans="2:8">
      <c r="B198" s="1"/>
      <c r="C198" s="1"/>
      <c r="D198" s="1"/>
      <c r="E198" s="1"/>
      <c r="F198" s="1"/>
      <c r="G198" s="1"/>
      <c r="H198" s="1"/>
    </row>
    <row r="199" spans="2:8">
      <c r="B199" s="1"/>
      <c r="C199" s="1"/>
      <c r="D199" s="1"/>
      <c r="E199" s="1"/>
      <c r="F199" s="1"/>
      <c r="G199" s="1"/>
      <c r="H199" s="1"/>
    </row>
    <row r="200" spans="2:8">
      <c r="B200" s="1"/>
      <c r="C200" s="1"/>
      <c r="D200" s="1"/>
      <c r="E200" s="1"/>
      <c r="F200" s="1"/>
      <c r="G200" s="1"/>
      <c r="H200" s="1"/>
    </row>
    <row r="201" spans="2:8">
      <c r="B201" s="1"/>
      <c r="C201" s="1"/>
      <c r="D201" s="1"/>
      <c r="E201" s="1"/>
      <c r="F201" s="1"/>
      <c r="G201" s="1"/>
      <c r="H201" s="1"/>
    </row>
    <row r="202" spans="2:8">
      <c r="B202" s="1"/>
      <c r="C202" s="1"/>
      <c r="D202" s="1"/>
      <c r="E202" s="1"/>
      <c r="F202" s="1"/>
      <c r="G202" s="1"/>
      <c r="H202" s="1"/>
    </row>
    <row r="203" spans="2:8">
      <c r="B203" s="1"/>
      <c r="C203" s="1"/>
      <c r="D203" s="1"/>
      <c r="E203" s="1"/>
      <c r="F203" s="1"/>
      <c r="G203" s="1"/>
      <c r="H203" s="1"/>
    </row>
    <row r="204" spans="2:8">
      <c r="B204" s="1"/>
      <c r="C204" s="1"/>
      <c r="D204" s="1"/>
      <c r="E204" s="1"/>
      <c r="F204" s="1"/>
      <c r="G204" s="1"/>
      <c r="H204" s="1"/>
    </row>
    <row r="205" spans="2:8">
      <c r="B205" s="1"/>
      <c r="C205" s="1"/>
      <c r="D205" s="1"/>
      <c r="E205" s="1"/>
      <c r="F205" s="1"/>
      <c r="G205" s="1"/>
      <c r="H205" s="1"/>
    </row>
    <row r="206" spans="2:8">
      <c r="B206" s="1"/>
      <c r="C206" s="1"/>
      <c r="D206" s="1"/>
      <c r="E206" s="1"/>
      <c r="F206" s="1"/>
      <c r="G206" s="1"/>
      <c r="H206" s="1"/>
    </row>
    <row r="207" spans="2:8">
      <c r="B207" s="1"/>
      <c r="C207" s="1"/>
      <c r="D207" s="1"/>
      <c r="E207" s="1"/>
      <c r="F207" s="1"/>
      <c r="G207" s="1"/>
      <c r="H207" s="1"/>
    </row>
    <row r="208" spans="2:8">
      <c r="B208" s="1"/>
      <c r="C208" s="1"/>
      <c r="D208" s="1"/>
      <c r="E208" s="1"/>
      <c r="F208" s="1"/>
      <c r="G208" s="1"/>
      <c r="H208" s="1"/>
    </row>
    <row r="209" spans="2:8">
      <c r="B209" s="1"/>
      <c r="C209" s="1"/>
      <c r="D209" s="1"/>
      <c r="E209" s="1"/>
      <c r="F209" s="1"/>
      <c r="G209" s="1"/>
      <c r="H209" s="1"/>
    </row>
    <row r="210" spans="2:8">
      <c r="B210" s="1"/>
      <c r="C210" s="1"/>
      <c r="D210" s="1"/>
      <c r="E210" s="1"/>
      <c r="F210" s="1"/>
      <c r="G210" s="1"/>
      <c r="H210" s="1"/>
    </row>
    <row r="211" spans="2:8">
      <c r="B211" s="1"/>
      <c r="C211" s="1"/>
      <c r="D211" s="1"/>
      <c r="E211" s="1"/>
      <c r="F211" s="1"/>
      <c r="G211" s="1"/>
      <c r="H211" s="1"/>
    </row>
    <row r="212" spans="2:8">
      <c r="B212" s="1"/>
      <c r="C212" s="1"/>
      <c r="D212" s="1"/>
      <c r="E212" s="1"/>
      <c r="F212" s="1"/>
      <c r="G212" s="1"/>
      <c r="H212" s="1"/>
    </row>
    <row r="213" spans="2:8">
      <c r="B213" s="1"/>
      <c r="C213" s="1"/>
      <c r="D213" s="1"/>
      <c r="E213" s="1"/>
      <c r="F213" s="1"/>
      <c r="G213" s="1"/>
      <c r="H213" s="1"/>
    </row>
    <row r="214" spans="2:8">
      <c r="B214" s="1"/>
      <c r="C214" s="1"/>
      <c r="D214" s="1"/>
      <c r="E214" s="1"/>
      <c r="F214" s="1"/>
      <c r="G214" s="1"/>
      <c r="H214" s="1"/>
    </row>
    <row r="215" spans="2:8">
      <c r="B215" s="1"/>
      <c r="C215" s="1"/>
      <c r="D215" s="1"/>
      <c r="E215" s="1"/>
      <c r="F215" s="1"/>
      <c r="G215" s="1"/>
      <c r="H215" s="1"/>
    </row>
    <row r="216" spans="2:8">
      <c r="B216" s="1"/>
      <c r="C216" s="1"/>
      <c r="D216" s="1"/>
      <c r="E216" s="1"/>
      <c r="F216" s="1"/>
      <c r="G216" s="1"/>
      <c r="H216" s="1"/>
    </row>
    <row r="217" spans="2:8">
      <c r="B217" s="1"/>
      <c r="C217" s="1"/>
      <c r="D217" s="1"/>
      <c r="E217" s="1"/>
      <c r="F217" s="1"/>
      <c r="G217" s="1"/>
      <c r="H217" s="1"/>
    </row>
    <row r="218" spans="2:8">
      <c r="B218" s="1"/>
      <c r="C218" s="1"/>
      <c r="D218" s="1"/>
      <c r="E218" s="1"/>
      <c r="F218" s="1"/>
      <c r="G218" s="1"/>
      <c r="H218" s="1"/>
    </row>
    <row r="219" spans="2:8">
      <c r="B219" s="1"/>
      <c r="C219" s="1"/>
      <c r="D219" s="1"/>
      <c r="E219" s="1"/>
      <c r="F219" s="1"/>
      <c r="G219" s="1"/>
      <c r="H219" s="1"/>
    </row>
    <row r="220" spans="2:8">
      <c r="B220" s="1"/>
      <c r="C220" s="1"/>
      <c r="D220" s="1"/>
      <c r="E220" s="1"/>
      <c r="F220" s="1"/>
      <c r="G220" s="1"/>
      <c r="H220" s="1"/>
    </row>
    <row r="221" spans="2:8">
      <c r="B221" s="1"/>
      <c r="C221" s="1"/>
      <c r="D221" s="1"/>
      <c r="E221" s="1"/>
      <c r="F221" s="1"/>
      <c r="G221" s="1"/>
      <c r="H221" s="1"/>
    </row>
    <row r="222" spans="2:8">
      <c r="B222" s="1"/>
      <c r="C222" s="1"/>
      <c r="D222" s="1"/>
      <c r="E222" s="1"/>
      <c r="F222" s="1"/>
      <c r="G222" s="1"/>
      <c r="H222" s="1"/>
    </row>
    <row r="223" spans="2:8">
      <c r="B223" s="1"/>
      <c r="C223" s="1"/>
      <c r="D223" s="1"/>
      <c r="E223" s="1"/>
      <c r="F223" s="1"/>
      <c r="G223" s="1"/>
      <c r="H223" s="1"/>
    </row>
    <row r="224" spans="2:8">
      <c r="B224" s="1"/>
      <c r="C224" s="1"/>
      <c r="D224" s="1"/>
      <c r="E224" s="1"/>
      <c r="F224" s="1"/>
      <c r="G224" s="1"/>
      <c r="H224" s="1"/>
    </row>
    <row r="225" spans="2:8">
      <c r="B225" s="1"/>
      <c r="C225" s="1"/>
      <c r="D225" s="1"/>
      <c r="E225" s="1"/>
      <c r="F225" s="1"/>
      <c r="G225" s="1"/>
      <c r="H225" s="1"/>
    </row>
    <row r="226" spans="2:8">
      <c r="B226" s="1"/>
      <c r="C226" s="1"/>
      <c r="D226" s="1"/>
      <c r="E226" s="1"/>
      <c r="F226" s="1"/>
      <c r="G226" s="1"/>
      <c r="H226" s="1"/>
    </row>
    <row r="227" spans="2:8">
      <c r="B227" s="1"/>
      <c r="C227" s="1"/>
      <c r="D227" s="1"/>
      <c r="E227" s="1"/>
      <c r="F227" s="1"/>
      <c r="G227" s="1"/>
      <c r="H227" s="1"/>
    </row>
    <row r="228" spans="2:8">
      <c r="B228" s="1"/>
      <c r="C228" s="1"/>
      <c r="D228" s="1"/>
      <c r="E228" s="1"/>
      <c r="F228" s="1"/>
      <c r="G228" s="1"/>
      <c r="H228" s="1"/>
    </row>
    <row r="229" spans="2:8">
      <c r="B229" s="1"/>
      <c r="C229" s="1"/>
      <c r="D229" s="1"/>
      <c r="E229" s="1"/>
      <c r="F229" s="1"/>
      <c r="G229" s="1"/>
      <c r="H229" s="1"/>
    </row>
    <row r="230" spans="2:8">
      <c r="B230" s="1"/>
      <c r="C230" s="1"/>
      <c r="D230" s="1"/>
      <c r="E230" s="1"/>
      <c r="F230" s="1"/>
      <c r="G230" s="1"/>
      <c r="H230" s="1"/>
    </row>
    <row r="231" spans="2:8">
      <c r="B231" s="1"/>
      <c r="C231" s="1"/>
      <c r="D231" s="1"/>
      <c r="E231" s="1"/>
      <c r="F231" s="1"/>
      <c r="G231" s="1"/>
      <c r="H231" s="1"/>
    </row>
    <row r="232" spans="2:8">
      <c r="B232" s="1"/>
      <c r="C232" s="1"/>
      <c r="D232" s="1"/>
      <c r="E232" s="1"/>
      <c r="F232" s="1"/>
      <c r="G232" s="1"/>
      <c r="H232" s="1"/>
    </row>
    <row r="233" spans="2:8">
      <c r="B233" s="1"/>
      <c r="C233" s="1"/>
      <c r="D233" s="1"/>
      <c r="E233" s="1"/>
      <c r="F233" s="1"/>
      <c r="G233" s="1"/>
      <c r="H233" s="1"/>
    </row>
    <row r="234" spans="2:8">
      <c r="B234" s="1"/>
      <c r="C234" s="1"/>
      <c r="D234" s="1"/>
      <c r="E234" s="1"/>
      <c r="F234" s="1"/>
      <c r="G234" s="1"/>
      <c r="H234" s="1"/>
    </row>
    <row r="235" spans="2:8">
      <c r="B235" s="1"/>
      <c r="C235" s="1"/>
      <c r="D235" s="1"/>
      <c r="E235" s="1"/>
      <c r="F235" s="1"/>
      <c r="G235" s="1"/>
      <c r="H235" s="1"/>
    </row>
    <row r="236" spans="2:8">
      <c r="B236" s="1"/>
      <c r="C236" s="1"/>
      <c r="D236" s="1"/>
      <c r="E236" s="1"/>
      <c r="F236" s="1"/>
      <c r="G236" s="1"/>
      <c r="H236" s="1"/>
    </row>
    <row r="237" spans="2:8">
      <c r="B237" s="1"/>
      <c r="C237" s="1"/>
      <c r="D237" s="1"/>
      <c r="E237" s="1"/>
      <c r="F237" s="1"/>
      <c r="G237" s="1"/>
      <c r="H237" s="1"/>
    </row>
    <row r="238" spans="2:8">
      <c r="B238" s="1"/>
      <c r="C238" s="1"/>
      <c r="D238" s="1"/>
      <c r="E238" s="1"/>
      <c r="F238" s="1"/>
      <c r="G238" s="1"/>
      <c r="H238" s="1"/>
    </row>
    <row r="239" spans="2:8">
      <c r="B239" s="1"/>
      <c r="C239" s="1"/>
      <c r="D239" s="1"/>
      <c r="E239" s="1"/>
      <c r="F239" s="1"/>
      <c r="G239" s="1"/>
      <c r="H239" s="1"/>
    </row>
    <row r="240" spans="2:8">
      <c r="B240" s="1"/>
      <c r="C240" s="1"/>
      <c r="D240" s="1"/>
      <c r="E240" s="1"/>
      <c r="F240" s="1"/>
      <c r="G240" s="1"/>
      <c r="H240" s="1"/>
    </row>
    <row r="241" spans="2:8">
      <c r="B241" s="1"/>
      <c r="C241" s="1"/>
      <c r="D241" s="1"/>
      <c r="E241" s="1"/>
      <c r="F241" s="1"/>
      <c r="G241" s="1"/>
      <c r="H241" s="1"/>
    </row>
    <row r="242" spans="2:8">
      <c r="B242" s="1"/>
      <c r="C242" s="1"/>
      <c r="D242" s="1"/>
      <c r="E242" s="1"/>
      <c r="F242" s="1"/>
      <c r="G242" s="1"/>
      <c r="H242" s="1"/>
    </row>
    <row r="243" spans="2:8">
      <c r="B243" s="1"/>
      <c r="C243" s="1"/>
      <c r="D243" s="1"/>
      <c r="E243" s="1"/>
      <c r="F243" s="1"/>
      <c r="G243" s="1"/>
      <c r="H243" s="1"/>
    </row>
    <row r="244" spans="2:8">
      <c r="B244" s="1"/>
      <c r="C244" s="1"/>
      <c r="D244" s="1"/>
      <c r="E244" s="1"/>
      <c r="F244" s="1"/>
      <c r="G244" s="1"/>
      <c r="H244" s="1"/>
    </row>
    <row r="245" spans="2:8">
      <c r="B245" s="1"/>
      <c r="C245" s="1"/>
      <c r="D245" s="1"/>
      <c r="E245" s="1"/>
      <c r="F245" s="1"/>
      <c r="G245" s="1"/>
      <c r="H245" s="1"/>
    </row>
    <row r="246" spans="2:8">
      <c r="B246" s="1"/>
      <c r="C246" s="1"/>
      <c r="D246" s="1"/>
      <c r="E246" s="1"/>
      <c r="F246" s="1"/>
      <c r="G246" s="1"/>
      <c r="H246" s="1"/>
    </row>
    <row r="247" spans="2:8">
      <c r="B247" s="1"/>
      <c r="C247" s="1"/>
      <c r="D247" s="1"/>
      <c r="E247" s="1"/>
      <c r="F247" s="1"/>
      <c r="G247" s="1"/>
      <c r="H247" s="1"/>
    </row>
    <row r="248" spans="2:8">
      <c r="B248" s="1"/>
      <c r="C248" s="1"/>
      <c r="D248" s="1"/>
      <c r="E248" s="1"/>
      <c r="F248" s="1"/>
      <c r="G248" s="1"/>
      <c r="H248" s="1"/>
    </row>
    <row r="249" spans="2:8">
      <c r="B249" s="1"/>
      <c r="C249" s="1"/>
      <c r="D249" s="1"/>
      <c r="E249" s="1"/>
      <c r="F249" s="1"/>
      <c r="G249" s="1"/>
      <c r="H249" s="1"/>
    </row>
    <row r="250" spans="2:8">
      <c r="B250" s="1"/>
      <c r="C250" s="1"/>
      <c r="D250" s="1"/>
      <c r="E250" s="1"/>
      <c r="F250" s="1"/>
      <c r="G250" s="1"/>
      <c r="H250" s="1"/>
    </row>
    <row r="251" spans="2:8">
      <c r="B251" s="1"/>
      <c r="C251" s="1"/>
      <c r="D251" s="1"/>
      <c r="E251" s="1"/>
      <c r="F251" s="1"/>
      <c r="G251" s="1"/>
      <c r="H251" s="1"/>
    </row>
    <row r="252" spans="2:8">
      <c r="B252" s="1"/>
      <c r="C252" s="1"/>
      <c r="D252" s="1"/>
      <c r="E252" s="1"/>
      <c r="F252" s="1"/>
      <c r="G252" s="1"/>
      <c r="H252" s="1"/>
    </row>
    <row r="253" spans="2:8">
      <c r="B253" s="1"/>
      <c r="C253" s="1"/>
      <c r="D253" s="1"/>
      <c r="E253" s="1"/>
      <c r="F253" s="1"/>
      <c r="G253" s="1"/>
      <c r="H253" s="1"/>
    </row>
    <row r="254" spans="2:8">
      <c r="B254" s="1"/>
      <c r="C254" s="1"/>
      <c r="D254" s="1"/>
      <c r="E254" s="1"/>
      <c r="F254" s="1"/>
      <c r="G254" s="1"/>
      <c r="H254" s="1"/>
    </row>
    <row r="255" spans="2:8">
      <c r="B255" s="1"/>
      <c r="C255" s="1"/>
      <c r="D255" s="1"/>
      <c r="E255" s="1"/>
      <c r="F255" s="1"/>
      <c r="G255" s="1"/>
      <c r="H255" s="1"/>
    </row>
    <row r="256" spans="2:8">
      <c r="B256" s="1"/>
      <c r="C256" s="1"/>
      <c r="D256" s="1"/>
      <c r="E256" s="1"/>
      <c r="F256" s="1"/>
      <c r="G256" s="1"/>
      <c r="H256" s="1"/>
    </row>
    <row r="257" spans="2:8">
      <c r="B257" s="1"/>
      <c r="C257" s="1"/>
      <c r="D257" s="1"/>
      <c r="E257" s="1"/>
      <c r="F257" s="1"/>
      <c r="G257" s="1"/>
      <c r="H257" s="1"/>
    </row>
    <row r="258" spans="2:8">
      <c r="B258" s="1"/>
      <c r="C258" s="1"/>
      <c r="D258" s="1"/>
      <c r="E258" s="1"/>
      <c r="F258" s="1"/>
      <c r="G258" s="1"/>
      <c r="H258" s="1"/>
    </row>
    <row r="259" spans="2:8">
      <c r="B259" s="1"/>
      <c r="C259" s="1"/>
      <c r="D259" s="1"/>
      <c r="E259" s="1"/>
      <c r="F259" s="1"/>
      <c r="G259" s="1"/>
      <c r="H259" s="1"/>
    </row>
    <row r="260" spans="2:8">
      <c r="B260" s="1"/>
      <c r="C260" s="1"/>
      <c r="D260" s="1"/>
      <c r="E260" s="1"/>
      <c r="F260" s="1"/>
      <c r="G260" s="1"/>
      <c r="H260" s="1"/>
    </row>
    <row r="261" spans="2:8">
      <c r="B261" s="1"/>
      <c r="C261" s="1"/>
      <c r="D261" s="1"/>
      <c r="E261" s="1"/>
      <c r="F261" s="1"/>
      <c r="G261" s="1"/>
      <c r="H261" s="1"/>
    </row>
    <row r="262" spans="2:8">
      <c r="B262" s="1"/>
      <c r="C262" s="1"/>
      <c r="D262" s="1"/>
      <c r="E262" s="1"/>
      <c r="F262" s="1"/>
      <c r="G262" s="1"/>
      <c r="H262" s="1"/>
    </row>
    <row r="263" spans="2:8">
      <c r="B263" s="1"/>
      <c r="C263" s="1"/>
      <c r="D263" s="1"/>
      <c r="E263" s="1"/>
      <c r="F263" s="1"/>
      <c r="G263" s="1"/>
      <c r="H263" s="1"/>
    </row>
    <row r="264" spans="2:8">
      <c r="B264" s="1"/>
      <c r="C264" s="1"/>
      <c r="D264" s="1"/>
      <c r="E264" s="1"/>
      <c r="F264" s="1"/>
      <c r="G264" s="1"/>
      <c r="H264" s="1"/>
    </row>
    <row r="265" spans="2:8">
      <c r="B265" s="1"/>
      <c r="C265" s="1"/>
      <c r="D265" s="1"/>
      <c r="E265" s="1"/>
      <c r="F265" s="1"/>
      <c r="G265" s="1"/>
      <c r="H265" s="1"/>
    </row>
    <row r="266" spans="2:8">
      <c r="B266" s="1"/>
      <c r="C266" s="1"/>
      <c r="D266" s="1"/>
      <c r="E266" s="1"/>
      <c r="F266" s="1"/>
      <c r="G266" s="1"/>
      <c r="H266" s="1"/>
    </row>
    <row r="267" spans="2:8">
      <c r="B267" s="1"/>
      <c r="C267" s="1"/>
      <c r="D267" s="1"/>
      <c r="E267" s="1"/>
      <c r="F267" s="1"/>
      <c r="G267" s="1"/>
      <c r="H267" s="1"/>
    </row>
    <row r="268" spans="2:8">
      <c r="B268" s="1"/>
      <c r="C268" s="1"/>
      <c r="D268" s="1"/>
      <c r="E268" s="1"/>
      <c r="F268" s="1"/>
      <c r="G268" s="1"/>
      <c r="H268" s="1"/>
    </row>
    <row r="269" spans="2:8">
      <c r="B269" s="1"/>
      <c r="C269" s="1"/>
      <c r="D269" s="1"/>
      <c r="E269" s="1"/>
      <c r="F269" s="1"/>
      <c r="G269" s="1"/>
      <c r="H269" s="1"/>
    </row>
    <row r="270" spans="2:8">
      <c r="B270" s="1"/>
      <c r="C270" s="1"/>
      <c r="D270" s="1"/>
      <c r="E270" s="1"/>
      <c r="F270" s="1"/>
      <c r="G270" s="1"/>
      <c r="H270" s="1"/>
    </row>
    <row r="271" spans="2:8">
      <c r="B271" s="1"/>
      <c r="C271" s="1"/>
      <c r="D271" s="1"/>
      <c r="E271" s="1"/>
      <c r="F271" s="1"/>
      <c r="G271" s="1"/>
      <c r="H271" s="1"/>
    </row>
    <row r="272" spans="2:8">
      <c r="B272" s="1"/>
      <c r="C272" s="1"/>
      <c r="D272" s="1"/>
      <c r="E272" s="1"/>
      <c r="F272" s="1"/>
      <c r="G272" s="1"/>
      <c r="H272" s="1"/>
    </row>
    <row r="273" spans="2:8">
      <c r="B273" s="1"/>
      <c r="C273" s="1"/>
      <c r="D273" s="1"/>
      <c r="E273" s="1"/>
      <c r="F273" s="1"/>
      <c r="G273" s="1"/>
      <c r="H273" s="1"/>
    </row>
    <row r="274" spans="2:8">
      <c r="B274" s="1"/>
      <c r="C274" s="1"/>
      <c r="D274" s="1"/>
      <c r="E274" s="1"/>
      <c r="F274" s="1"/>
      <c r="G274" s="1"/>
      <c r="H274" s="1"/>
    </row>
    <row r="275" spans="2:8">
      <c r="B275" s="1"/>
      <c r="C275" s="1"/>
      <c r="D275" s="1"/>
      <c r="E275" s="1"/>
      <c r="F275" s="1"/>
      <c r="G275" s="1"/>
      <c r="H275" s="1"/>
    </row>
    <row r="276" spans="2:8">
      <c r="B276" s="1"/>
      <c r="C276" s="1"/>
      <c r="D276" s="1"/>
      <c r="E276" s="1"/>
      <c r="F276" s="1"/>
      <c r="G276" s="1"/>
      <c r="H276" s="1"/>
    </row>
    <row r="277" spans="2:8">
      <c r="B277" s="1"/>
      <c r="C277" s="1"/>
      <c r="D277" s="1"/>
      <c r="E277" s="1"/>
      <c r="F277" s="1"/>
      <c r="G277" s="1"/>
      <c r="H277" s="1"/>
    </row>
    <row r="278" spans="2:8">
      <c r="B278" s="1"/>
      <c r="C278" s="1"/>
      <c r="D278" s="1"/>
      <c r="E278" s="1"/>
      <c r="F278" s="1"/>
      <c r="G278" s="1"/>
      <c r="H278" s="1"/>
    </row>
    <row r="279" spans="2:8">
      <c r="B279" s="1"/>
      <c r="C279" s="1"/>
      <c r="D279" s="1"/>
      <c r="E279" s="1"/>
      <c r="F279" s="1"/>
      <c r="G279" s="1"/>
      <c r="H279" s="1"/>
    </row>
    <row r="280" spans="2:8">
      <c r="B280" s="1"/>
      <c r="C280" s="1"/>
      <c r="D280" s="1"/>
      <c r="E280" s="1"/>
      <c r="F280" s="1"/>
      <c r="G280" s="1"/>
      <c r="H280" s="1"/>
    </row>
    <row r="281" spans="2:8">
      <c r="B281" s="1"/>
      <c r="C281" s="1"/>
      <c r="D281" s="1"/>
      <c r="E281" s="1"/>
      <c r="F281" s="1"/>
      <c r="G281" s="1"/>
      <c r="H281" s="1"/>
    </row>
    <row r="282" spans="2:8">
      <c r="B282" s="1"/>
      <c r="C282" s="1"/>
      <c r="D282" s="1"/>
      <c r="E282" s="1"/>
      <c r="F282" s="1"/>
      <c r="G282" s="1"/>
      <c r="H282" s="1"/>
    </row>
    <row r="283" spans="2:8">
      <c r="B283" s="1"/>
      <c r="C283" s="1"/>
      <c r="D283" s="1"/>
      <c r="E283" s="1"/>
      <c r="F283" s="1"/>
      <c r="G283" s="1"/>
      <c r="H283" s="1"/>
    </row>
    <row r="284" spans="2:8">
      <c r="B284" s="1"/>
      <c r="C284" s="1"/>
      <c r="D284" s="1"/>
      <c r="E284" s="1"/>
      <c r="F284" s="1"/>
      <c r="G284" s="1"/>
      <c r="H284" s="1"/>
    </row>
    <row r="285" spans="2:8">
      <c r="B285" s="1"/>
      <c r="C285" s="1"/>
      <c r="D285" s="1"/>
      <c r="E285" s="1"/>
      <c r="F285" s="1"/>
      <c r="G285" s="1"/>
      <c r="H285" s="1"/>
    </row>
    <row r="286" spans="2:8">
      <c r="B286" s="1"/>
      <c r="C286" s="1"/>
      <c r="D286" s="1"/>
      <c r="E286" s="1"/>
      <c r="F286" s="1"/>
      <c r="G286" s="1"/>
      <c r="H286" s="1"/>
    </row>
    <row r="287" spans="2:8">
      <c r="B287" s="1"/>
      <c r="C287" s="1"/>
      <c r="D287" s="1"/>
      <c r="E287" s="1"/>
      <c r="F287" s="1"/>
      <c r="G287" s="1"/>
      <c r="H287" s="1"/>
    </row>
    <row r="288" spans="2:8">
      <c r="B288" s="1"/>
      <c r="C288" s="1"/>
      <c r="D288" s="1"/>
      <c r="E288" s="1"/>
      <c r="F288" s="1"/>
      <c r="G288" s="1"/>
      <c r="H288" s="1"/>
    </row>
    <row r="289" spans="2:8">
      <c r="B289" s="1"/>
      <c r="C289" s="1"/>
      <c r="D289" s="1"/>
      <c r="E289" s="1"/>
      <c r="F289" s="1"/>
      <c r="G289" s="1"/>
      <c r="H289" s="1"/>
    </row>
    <row r="290" spans="2:8">
      <c r="B290" s="1"/>
      <c r="C290" s="1"/>
      <c r="D290" s="1"/>
      <c r="E290" s="1"/>
      <c r="F290" s="1"/>
      <c r="G290" s="1"/>
      <c r="H290" s="1"/>
    </row>
    <row r="291" spans="2:8">
      <c r="B291" s="1"/>
      <c r="C291" s="1"/>
      <c r="D291" s="1"/>
      <c r="E291" s="1"/>
      <c r="F291" s="1"/>
      <c r="G291" s="1"/>
      <c r="H291" s="1"/>
    </row>
    <row r="292" spans="2:8">
      <c r="B292" s="1"/>
      <c r="C292" s="1"/>
      <c r="D292" s="1"/>
      <c r="E292" s="1"/>
      <c r="F292" s="1"/>
      <c r="G292" s="1"/>
      <c r="H292" s="1"/>
    </row>
    <row r="293" spans="2:8">
      <c r="B293" s="1"/>
      <c r="C293" s="1"/>
      <c r="D293" s="1"/>
      <c r="E293" s="1"/>
      <c r="F293" s="1"/>
      <c r="G293" s="1"/>
      <c r="H293" s="1"/>
    </row>
    <row r="294" spans="2:8">
      <c r="B294" s="1"/>
      <c r="C294" s="1"/>
      <c r="D294" s="1"/>
      <c r="E294" s="1"/>
      <c r="F294" s="1"/>
      <c r="G294" s="1"/>
      <c r="H294" s="1"/>
    </row>
    <row r="295" spans="2:8">
      <c r="B295" s="1"/>
      <c r="C295" s="1"/>
      <c r="D295" s="1"/>
      <c r="E295" s="1"/>
      <c r="F295" s="1"/>
      <c r="G295" s="1"/>
      <c r="H295" s="1"/>
    </row>
    <row r="296" spans="2:8">
      <c r="B296" s="1"/>
      <c r="C296" s="1"/>
      <c r="D296" s="1"/>
      <c r="E296" s="1"/>
      <c r="F296" s="1"/>
      <c r="G296" s="1"/>
      <c r="H296" s="1"/>
    </row>
    <row r="297" spans="2:8">
      <c r="B297" s="1"/>
      <c r="C297" s="1"/>
      <c r="D297" s="1"/>
      <c r="E297" s="1"/>
      <c r="F297" s="1"/>
      <c r="G297" s="1"/>
      <c r="H297" s="1"/>
    </row>
    <row r="298" spans="2:8">
      <c r="B298" s="1"/>
      <c r="C298" s="1"/>
      <c r="D298" s="1"/>
      <c r="E298" s="1"/>
      <c r="F298" s="1"/>
      <c r="G298" s="1"/>
      <c r="H298" s="1"/>
    </row>
    <row r="299" spans="2:8">
      <c r="B299" s="1"/>
      <c r="C299" s="1"/>
      <c r="D299" s="1"/>
      <c r="E299" s="1"/>
      <c r="F299" s="1"/>
      <c r="G299" s="1"/>
      <c r="H299" s="1"/>
    </row>
    <row r="300" spans="2:8">
      <c r="B300" s="1"/>
      <c r="C300" s="1"/>
      <c r="D300" s="1"/>
      <c r="E300" s="1"/>
      <c r="F300" s="1"/>
      <c r="G300" s="1"/>
      <c r="H300" s="1"/>
    </row>
    <row r="301" spans="2:8">
      <c r="B301" s="1"/>
      <c r="C301" s="1"/>
      <c r="D301" s="1"/>
      <c r="E301" s="1"/>
      <c r="F301" s="1"/>
      <c r="G301" s="1"/>
      <c r="H301" s="1"/>
    </row>
    <row r="302" spans="2:8">
      <c r="B302" s="1"/>
      <c r="C302" s="1"/>
      <c r="D302" s="1"/>
      <c r="E302" s="1"/>
      <c r="F302" s="1"/>
      <c r="G302" s="1"/>
      <c r="H302" s="1"/>
    </row>
    <row r="303" spans="2:8">
      <c r="B303" s="1"/>
      <c r="C303" s="1"/>
      <c r="D303" s="1"/>
      <c r="E303" s="1"/>
      <c r="F303" s="1"/>
      <c r="G303" s="1"/>
      <c r="H303" s="1"/>
    </row>
    <row r="304" spans="2:8">
      <c r="B304" s="1"/>
      <c r="C304" s="1"/>
      <c r="D304" s="1"/>
      <c r="E304" s="1"/>
      <c r="F304" s="1"/>
      <c r="G304" s="1"/>
      <c r="H304" s="1"/>
    </row>
    <row r="305" spans="2:8">
      <c r="B305" s="1"/>
      <c r="C305" s="1"/>
      <c r="D305" s="1"/>
      <c r="E305" s="1"/>
      <c r="F305" s="1"/>
      <c r="G305" s="1"/>
      <c r="H305" s="1"/>
    </row>
    <row r="306" spans="2:8">
      <c r="B306" s="1"/>
      <c r="C306" s="1"/>
      <c r="D306" s="1"/>
      <c r="E306" s="1"/>
      <c r="F306" s="1"/>
      <c r="G306" s="1"/>
      <c r="H306" s="1"/>
    </row>
    <row r="307" spans="2:8">
      <c r="B307" s="1"/>
      <c r="C307" s="1"/>
      <c r="D307" s="1"/>
      <c r="E307" s="1"/>
      <c r="F307" s="1"/>
      <c r="G307" s="1"/>
      <c r="H307" s="1"/>
    </row>
    <row r="308" spans="2:8">
      <c r="B308" s="1"/>
      <c r="C308" s="1"/>
      <c r="D308" s="1"/>
      <c r="E308" s="1"/>
      <c r="F308" s="1"/>
      <c r="G308" s="1"/>
      <c r="H308" s="1"/>
    </row>
    <row r="309" spans="2:8">
      <c r="B309" s="1"/>
      <c r="C309" s="1"/>
      <c r="D309" s="1"/>
      <c r="E309" s="1"/>
      <c r="F309" s="1"/>
      <c r="G309" s="1"/>
      <c r="H309" s="1"/>
    </row>
    <row r="310" spans="2:8">
      <c r="B310" s="1"/>
      <c r="C310" s="1"/>
      <c r="D310" s="1"/>
      <c r="E310" s="1"/>
      <c r="F310" s="1"/>
      <c r="G310" s="1"/>
      <c r="H310" s="1"/>
    </row>
    <row r="311" spans="2:8">
      <c r="B311" s="1"/>
      <c r="C311" s="1"/>
      <c r="D311" s="1"/>
      <c r="E311" s="1"/>
      <c r="F311" s="1"/>
      <c r="G311" s="1"/>
      <c r="H311" s="1"/>
    </row>
    <row r="312" spans="2:8">
      <c r="B312" s="1"/>
      <c r="C312" s="1"/>
      <c r="D312" s="1"/>
      <c r="E312" s="1"/>
      <c r="F312" s="1"/>
      <c r="G312" s="1"/>
      <c r="H312" s="1"/>
    </row>
    <row r="313" spans="2:8">
      <c r="B313" s="1"/>
      <c r="C313" s="1"/>
      <c r="D313" s="1"/>
      <c r="E313" s="1"/>
      <c r="F313" s="1"/>
      <c r="G313" s="1"/>
      <c r="H313" s="1"/>
    </row>
    <row r="314" spans="2:8">
      <c r="B314" s="1"/>
      <c r="C314" s="1"/>
      <c r="D314" s="1"/>
      <c r="E314" s="1"/>
      <c r="F314" s="1"/>
      <c r="G314" s="1"/>
      <c r="H314" s="1"/>
    </row>
    <row r="315" spans="2:8">
      <c r="B315" s="1"/>
      <c r="C315" s="1"/>
      <c r="D315" s="1"/>
      <c r="E315" s="1"/>
      <c r="F315" s="1"/>
      <c r="G315" s="1"/>
      <c r="H315" s="1"/>
    </row>
    <row r="316" spans="2:8">
      <c r="B316" s="1"/>
      <c r="C316" s="1"/>
      <c r="D316" s="1"/>
      <c r="E316" s="1"/>
      <c r="F316" s="1"/>
      <c r="G316" s="1"/>
      <c r="H316" s="1"/>
    </row>
    <row r="317" spans="2:8">
      <c r="B317" s="1"/>
      <c r="C317" s="1"/>
      <c r="D317" s="1"/>
      <c r="E317" s="1"/>
      <c r="F317" s="1"/>
      <c r="G317" s="1"/>
      <c r="H317" s="1"/>
    </row>
    <row r="318" spans="2:8">
      <c r="B318" s="1"/>
      <c r="C318" s="1"/>
      <c r="D318" s="1"/>
      <c r="E318" s="1"/>
      <c r="F318" s="1"/>
      <c r="G318" s="1"/>
      <c r="H318" s="1"/>
    </row>
    <row r="319" spans="2:8">
      <c r="B319" s="1"/>
      <c r="C319" s="1"/>
      <c r="D319" s="1"/>
      <c r="E319" s="1"/>
      <c r="F319" s="1"/>
      <c r="G319" s="1"/>
      <c r="H319" s="1"/>
    </row>
    <row r="320" spans="2:8">
      <c r="B320" s="1"/>
      <c r="C320" s="1"/>
      <c r="D320" s="1"/>
      <c r="E320" s="1"/>
      <c r="F320" s="1"/>
      <c r="G320" s="1"/>
      <c r="H320" s="1"/>
    </row>
    <row r="321" spans="2:8">
      <c r="B321" s="1"/>
      <c r="C321" s="1"/>
      <c r="D321" s="1"/>
      <c r="E321" s="1"/>
      <c r="F321" s="1"/>
      <c r="G321" s="1"/>
      <c r="H321" s="1"/>
    </row>
    <row r="322" spans="2:8">
      <c r="B322" s="1"/>
      <c r="C322" s="1"/>
      <c r="D322" s="1"/>
      <c r="E322" s="1"/>
      <c r="F322" s="1"/>
      <c r="G322" s="1"/>
      <c r="H322" s="1"/>
    </row>
    <row r="323" spans="2:8">
      <c r="B323" s="1"/>
      <c r="C323" s="1"/>
      <c r="D323" s="1"/>
      <c r="E323" s="1"/>
      <c r="F323" s="1"/>
      <c r="G323" s="1"/>
      <c r="H323" s="1"/>
    </row>
    <row r="324" spans="2:8">
      <c r="B324" s="1"/>
      <c r="C324" s="1"/>
      <c r="D324" s="1"/>
      <c r="E324" s="1"/>
      <c r="F324" s="1"/>
      <c r="G324" s="1"/>
      <c r="H324" s="1"/>
    </row>
    <row r="325" spans="2:8">
      <c r="B325" s="1"/>
      <c r="C325" s="1"/>
      <c r="D325" s="1"/>
      <c r="E325" s="1"/>
      <c r="F325" s="1"/>
      <c r="G325" s="1"/>
      <c r="H325" s="1"/>
    </row>
    <row r="326" spans="2:8">
      <c r="B326" s="1"/>
      <c r="C326" s="1"/>
      <c r="D326" s="1"/>
      <c r="E326" s="1"/>
      <c r="F326" s="1"/>
      <c r="G326" s="1"/>
      <c r="H326" s="1"/>
    </row>
    <row r="327" spans="2:8">
      <c r="B327" s="1"/>
      <c r="C327" s="1"/>
      <c r="D327" s="1"/>
      <c r="E327" s="1"/>
      <c r="F327" s="1"/>
      <c r="G327" s="1"/>
      <c r="H327" s="1"/>
    </row>
    <row r="328" spans="2:8">
      <c r="B328" s="1"/>
      <c r="C328" s="1"/>
      <c r="D328" s="1"/>
      <c r="E328" s="1"/>
      <c r="F328" s="1"/>
      <c r="G328" s="1"/>
      <c r="H328" s="1"/>
    </row>
    <row r="329" spans="2:8">
      <c r="B329" s="1"/>
      <c r="C329" s="1"/>
      <c r="D329" s="1"/>
      <c r="E329" s="1"/>
      <c r="F329" s="1"/>
      <c r="G329" s="1"/>
      <c r="H329" s="1"/>
    </row>
    <row r="330" spans="2:8">
      <c r="B330" s="1"/>
      <c r="C330" s="1"/>
      <c r="D330" s="1"/>
      <c r="E330" s="1"/>
      <c r="F330" s="1"/>
      <c r="G330" s="1"/>
      <c r="H330" s="1"/>
    </row>
    <row r="331" spans="2:8">
      <c r="B331" s="1"/>
      <c r="C331" s="1"/>
      <c r="D331" s="1"/>
      <c r="E331" s="1"/>
      <c r="F331" s="1"/>
      <c r="G331" s="1"/>
      <c r="H331" s="1"/>
    </row>
    <row r="332" spans="2:8">
      <c r="B332" s="1"/>
      <c r="C332" s="1"/>
      <c r="D332" s="1"/>
      <c r="E332" s="1"/>
      <c r="F332" s="1"/>
      <c r="G332" s="1"/>
      <c r="H332" s="1"/>
    </row>
    <row r="333" spans="2:8">
      <c r="B333" s="1"/>
      <c r="C333" s="1"/>
      <c r="D333" s="1"/>
      <c r="E333" s="1"/>
      <c r="F333" s="1"/>
      <c r="G333" s="1"/>
      <c r="H333" s="1"/>
    </row>
    <row r="334" spans="2:8">
      <c r="B334" s="1"/>
      <c r="C334" s="1"/>
      <c r="D334" s="1"/>
      <c r="E334" s="1"/>
      <c r="F334" s="1"/>
      <c r="G334" s="1"/>
      <c r="H334" s="1"/>
    </row>
    <row r="335" spans="2:8">
      <c r="B335" s="1"/>
      <c r="C335" s="1"/>
      <c r="D335" s="1"/>
      <c r="E335" s="1"/>
      <c r="F335" s="1"/>
      <c r="G335" s="1"/>
      <c r="H335" s="1"/>
    </row>
    <row r="336" spans="2:8">
      <c r="B336" s="1"/>
      <c r="C336" s="1"/>
      <c r="D336" s="1"/>
      <c r="E336" s="1"/>
      <c r="F336" s="1"/>
      <c r="G336" s="1"/>
      <c r="H336" s="1"/>
    </row>
    <row r="337" spans="2:8">
      <c r="B337" s="1"/>
      <c r="C337" s="1"/>
      <c r="D337" s="1"/>
      <c r="E337" s="1"/>
      <c r="F337" s="1"/>
      <c r="G337" s="1"/>
      <c r="H337" s="1"/>
    </row>
    <row r="338" spans="2:8">
      <c r="B338" s="1"/>
      <c r="C338" s="1"/>
      <c r="D338" s="1"/>
      <c r="E338" s="1"/>
      <c r="F338" s="1"/>
      <c r="G338" s="1"/>
      <c r="H338" s="1"/>
    </row>
    <row r="339" spans="2:8">
      <c r="B339" s="1"/>
      <c r="C339" s="1"/>
      <c r="D339" s="1"/>
      <c r="E339" s="1"/>
      <c r="F339" s="1"/>
      <c r="G339" s="1"/>
      <c r="H339" s="1"/>
    </row>
    <row r="340" spans="2:8">
      <c r="B340" s="1"/>
      <c r="C340" s="1"/>
      <c r="D340" s="1"/>
      <c r="E340" s="1"/>
      <c r="F340" s="1"/>
      <c r="G340" s="1"/>
      <c r="H340" s="1"/>
    </row>
    <row r="341" spans="2:8">
      <c r="B341" s="1"/>
      <c r="C341" s="1"/>
      <c r="D341" s="1"/>
      <c r="E341" s="1"/>
      <c r="F341" s="1"/>
      <c r="G341" s="1"/>
      <c r="H341" s="1"/>
    </row>
    <row r="342" spans="2:8">
      <c r="B342" s="1"/>
      <c r="C342" s="1"/>
      <c r="D342" s="1"/>
      <c r="E342" s="1"/>
      <c r="F342" s="1"/>
      <c r="G342" s="1"/>
      <c r="H342" s="1"/>
    </row>
    <row r="343" spans="2:8">
      <c r="B343" s="1"/>
      <c r="C343" s="1"/>
      <c r="D343" s="1"/>
      <c r="E343" s="1"/>
      <c r="F343" s="1"/>
      <c r="G343" s="1"/>
      <c r="H343" s="1"/>
    </row>
    <row r="344" spans="2:8">
      <c r="B344" s="1"/>
      <c r="C344" s="1"/>
      <c r="D344" s="1"/>
      <c r="E344" s="1"/>
      <c r="F344" s="1"/>
      <c r="G344" s="1"/>
      <c r="H344" s="1"/>
    </row>
    <row r="345" spans="2:8">
      <c r="B345" s="1"/>
      <c r="C345" s="1"/>
      <c r="D345" s="1"/>
      <c r="E345" s="1"/>
      <c r="F345" s="1"/>
      <c r="G345" s="1"/>
      <c r="H345" s="1"/>
    </row>
    <row r="346" spans="2:8">
      <c r="B346" s="1"/>
      <c r="C346" s="1"/>
      <c r="D346" s="1"/>
      <c r="E346" s="1"/>
      <c r="F346" s="1"/>
      <c r="G346" s="1"/>
      <c r="H346" s="1"/>
    </row>
    <row r="347" spans="2:8">
      <c r="B347" s="1"/>
      <c r="C347" s="1"/>
      <c r="D347" s="1"/>
      <c r="E347" s="1"/>
      <c r="F347" s="1"/>
      <c r="G347" s="1"/>
      <c r="H347" s="1"/>
    </row>
    <row r="348" spans="2:8">
      <c r="B348" s="1"/>
      <c r="C348" s="1"/>
      <c r="D348" s="1"/>
      <c r="E348" s="1"/>
      <c r="F348" s="1"/>
      <c r="G348" s="1"/>
      <c r="H348" s="1"/>
    </row>
    <row r="349" spans="2:8">
      <c r="B349" s="1"/>
      <c r="C349" s="1"/>
      <c r="D349" s="1"/>
      <c r="E349" s="1"/>
      <c r="F349" s="1"/>
      <c r="G349" s="1"/>
      <c r="H349" s="1"/>
    </row>
    <row r="350" spans="2:8">
      <c r="B350" s="1"/>
      <c r="C350" s="1"/>
      <c r="D350" s="1"/>
      <c r="E350" s="1"/>
      <c r="F350" s="1"/>
      <c r="G350" s="1"/>
      <c r="H350" s="1"/>
    </row>
    <row r="351" spans="2:8">
      <c r="B351" s="1"/>
      <c r="C351" s="1"/>
      <c r="D351" s="1"/>
      <c r="E351" s="1"/>
      <c r="F351" s="1"/>
      <c r="G351" s="1"/>
      <c r="H351" s="1"/>
    </row>
    <row r="352" spans="2:8">
      <c r="B352" s="1"/>
      <c r="C352" s="1"/>
      <c r="D352" s="1"/>
      <c r="E352" s="1"/>
      <c r="F352" s="1"/>
      <c r="G352" s="1"/>
      <c r="H352" s="1"/>
    </row>
    <row r="353" spans="2:8">
      <c r="B353" s="1"/>
      <c r="C353" s="1"/>
      <c r="D353" s="1"/>
      <c r="E353" s="1"/>
      <c r="F353" s="1"/>
      <c r="G353" s="1"/>
      <c r="H353" s="1"/>
    </row>
    <row r="354" spans="2:8">
      <c r="B354" s="1"/>
      <c r="C354" s="1"/>
      <c r="D354" s="1"/>
      <c r="E354" s="1"/>
      <c r="F354" s="1"/>
      <c r="G354" s="1"/>
      <c r="H354" s="1"/>
    </row>
    <row r="355" spans="2:8">
      <c r="B355" s="1"/>
      <c r="C355" s="1"/>
      <c r="D355" s="1"/>
      <c r="E355" s="1"/>
      <c r="F355" s="1"/>
      <c r="G355" s="1"/>
      <c r="H355" s="1"/>
    </row>
    <row r="356" spans="2:8">
      <c r="B356" s="1"/>
      <c r="C356" s="1"/>
      <c r="D356" s="1"/>
      <c r="E356" s="1"/>
      <c r="F356" s="1"/>
      <c r="G356" s="1"/>
      <c r="H356" s="1"/>
    </row>
    <row r="357" spans="2:8">
      <c r="B357" s="1"/>
      <c r="C357" s="1"/>
      <c r="D357" s="1"/>
      <c r="E357" s="1"/>
      <c r="F357" s="1"/>
      <c r="G357" s="1"/>
      <c r="H357" s="1"/>
    </row>
    <row r="358" spans="2:8">
      <c r="B358" s="1"/>
      <c r="C358" s="1"/>
      <c r="D358" s="1"/>
      <c r="E358" s="1"/>
      <c r="F358" s="1"/>
      <c r="G358" s="1"/>
      <c r="H358" s="1"/>
    </row>
    <row r="359" spans="2:8">
      <c r="B359" s="1"/>
      <c r="C359" s="1"/>
      <c r="D359" s="1"/>
      <c r="E359" s="1"/>
      <c r="F359" s="1"/>
      <c r="G359" s="1"/>
      <c r="H359" s="1"/>
    </row>
    <row r="360" spans="2:8">
      <c r="B360" s="1"/>
      <c r="C360" s="1"/>
      <c r="D360" s="1"/>
      <c r="E360" s="1"/>
      <c r="F360" s="1"/>
      <c r="G360" s="1"/>
      <c r="H360" s="1"/>
    </row>
    <row r="361" spans="2:8">
      <c r="B361" s="1"/>
      <c r="C361" s="1"/>
      <c r="D361" s="1"/>
      <c r="E361" s="1"/>
      <c r="F361" s="1"/>
      <c r="G361" s="1"/>
      <c r="H361" s="1"/>
    </row>
    <row r="362" spans="2:8">
      <c r="B362" s="1"/>
      <c r="C362" s="1"/>
      <c r="D362" s="1"/>
      <c r="E362" s="1"/>
      <c r="F362" s="1"/>
      <c r="G362" s="1"/>
      <c r="H362" s="1"/>
    </row>
    <row r="363" spans="2:8">
      <c r="B363" s="1"/>
      <c r="C363" s="1"/>
      <c r="D363" s="1"/>
      <c r="E363" s="1"/>
      <c r="F363" s="1"/>
      <c r="G363" s="1"/>
      <c r="H363" s="1"/>
    </row>
    <row r="364" spans="2:8">
      <c r="B364" s="1"/>
      <c r="C364" s="1"/>
      <c r="D364" s="1"/>
      <c r="E364" s="1"/>
      <c r="F364" s="1"/>
      <c r="G364" s="1"/>
      <c r="H364" s="1"/>
    </row>
    <row r="365" spans="2:8">
      <c r="B365" s="1"/>
      <c r="C365" s="1"/>
      <c r="D365" s="1"/>
      <c r="E365" s="1"/>
      <c r="F365" s="1"/>
      <c r="G365" s="1"/>
      <c r="H365" s="1"/>
    </row>
    <row r="366" spans="2:8">
      <c r="B366" s="1"/>
      <c r="C366" s="1"/>
      <c r="D366" s="1"/>
      <c r="E366" s="1"/>
      <c r="F366" s="1"/>
      <c r="G366" s="1"/>
      <c r="H366" s="1"/>
    </row>
    <row r="367" spans="2:8">
      <c r="B367" s="1"/>
      <c r="C367" s="1"/>
      <c r="D367" s="1"/>
      <c r="E367" s="1"/>
      <c r="F367" s="1"/>
      <c r="G367" s="1"/>
      <c r="H367" s="1"/>
    </row>
    <row r="368" spans="2:8">
      <c r="B368" s="1"/>
      <c r="C368" s="1"/>
      <c r="D368" s="1"/>
      <c r="E368" s="1"/>
      <c r="F368" s="1"/>
      <c r="G368" s="1"/>
      <c r="H368" s="1"/>
    </row>
    <row r="369" spans="2:8">
      <c r="B369" s="1"/>
      <c r="C369" s="1"/>
      <c r="D369" s="1"/>
      <c r="E369" s="1"/>
      <c r="F369" s="1"/>
      <c r="G369" s="1"/>
      <c r="H369" s="1"/>
    </row>
    <row r="370" spans="2:8">
      <c r="B370" s="1"/>
      <c r="C370" s="1"/>
      <c r="D370" s="1"/>
      <c r="E370" s="1"/>
      <c r="F370" s="1"/>
      <c r="G370" s="1"/>
      <c r="H370" s="1"/>
    </row>
    <row r="371" spans="2:8">
      <c r="B371" s="1"/>
      <c r="C371" s="1"/>
      <c r="D371" s="1"/>
      <c r="E371" s="1"/>
      <c r="F371" s="1"/>
      <c r="G371" s="1"/>
      <c r="H371" s="1"/>
    </row>
    <row r="372" spans="2:8">
      <c r="B372" s="1"/>
      <c r="C372" s="1"/>
      <c r="D372" s="1"/>
      <c r="E372" s="1"/>
      <c r="F372" s="1"/>
      <c r="G372" s="1"/>
      <c r="H372" s="1"/>
    </row>
    <row r="373" spans="2:8">
      <c r="B373" s="1"/>
      <c r="C373" s="1"/>
      <c r="D373" s="1"/>
      <c r="E373" s="1"/>
      <c r="F373" s="1"/>
      <c r="G373" s="1"/>
      <c r="H373" s="1"/>
    </row>
    <row r="374" spans="2:8">
      <c r="B374" s="1"/>
      <c r="C374" s="1"/>
      <c r="D374" s="1"/>
      <c r="E374" s="1"/>
      <c r="F374" s="1"/>
      <c r="G374" s="1"/>
      <c r="H374" s="1"/>
    </row>
    <row r="375" spans="2:8">
      <c r="B375" s="1"/>
      <c r="C375" s="1"/>
      <c r="D375" s="1"/>
      <c r="E375" s="1"/>
      <c r="F375" s="1"/>
      <c r="G375" s="1"/>
      <c r="H375" s="1"/>
    </row>
    <row r="376" spans="2:8">
      <c r="B376" s="1"/>
      <c r="C376" s="1"/>
      <c r="D376" s="1"/>
      <c r="E376" s="1"/>
      <c r="F376" s="1"/>
      <c r="G376" s="1"/>
      <c r="H376" s="1"/>
    </row>
    <row r="377" spans="2:8">
      <c r="B377" s="1"/>
      <c r="C377" s="1"/>
      <c r="D377" s="1"/>
      <c r="E377" s="1"/>
      <c r="F377" s="1"/>
      <c r="G377" s="1"/>
      <c r="H377" s="1"/>
    </row>
    <row r="378" spans="2:8">
      <c r="B378" s="1"/>
      <c r="C378" s="1"/>
      <c r="D378" s="1"/>
      <c r="E378" s="1"/>
      <c r="F378" s="1"/>
      <c r="G378" s="1"/>
      <c r="H378" s="1"/>
    </row>
    <row r="379" spans="2:8">
      <c r="B379" s="1"/>
      <c r="C379" s="1"/>
      <c r="D379" s="1"/>
      <c r="E379" s="1"/>
      <c r="F379" s="1"/>
      <c r="G379" s="1"/>
      <c r="H379" s="1"/>
    </row>
    <row r="380" spans="2:8">
      <c r="B380" s="1"/>
      <c r="C380" s="1"/>
      <c r="D380" s="1"/>
      <c r="E380" s="1"/>
      <c r="F380" s="1"/>
      <c r="G380" s="1"/>
      <c r="H380" s="1"/>
    </row>
    <row r="381" spans="2:8">
      <c r="B381" s="1"/>
      <c r="C381" s="1"/>
      <c r="D381" s="1"/>
      <c r="E381" s="1"/>
      <c r="F381" s="1"/>
      <c r="G381" s="1"/>
      <c r="H381" s="1"/>
    </row>
    <row r="382" spans="2:8">
      <c r="B382" s="1"/>
      <c r="C382" s="1"/>
      <c r="D382" s="1"/>
      <c r="E382" s="1"/>
      <c r="F382" s="1"/>
      <c r="G382" s="1"/>
      <c r="H382" s="1"/>
    </row>
    <row r="383" spans="2:8">
      <c r="B383" s="1"/>
      <c r="C383" s="1"/>
      <c r="D383" s="1"/>
      <c r="E383" s="1"/>
      <c r="F383" s="1"/>
      <c r="G383" s="1"/>
      <c r="H383" s="1"/>
    </row>
    <row r="384" spans="2:8">
      <c r="B384" s="1"/>
      <c r="C384" s="1"/>
      <c r="D384" s="1"/>
      <c r="E384" s="1"/>
      <c r="F384" s="1"/>
      <c r="G384" s="1"/>
      <c r="H384" s="1"/>
    </row>
    <row r="385" spans="2:8">
      <c r="B385" s="1"/>
      <c r="C385" s="1"/>
      <c r="D385" s="1"/>
      <c r="E385" s="1"/>
      <c r="F385" s="1"/>
      <c r="G385" s="1"/>
      <c r="H385" s="1"/>
    </row>
    <row r="386" spans="2:8">
      <c r="B386" s="1"/>
      <c r="C386" s="1"/>
      <c r="D386" s="1"/>
      <c r="E386" s="1"/>
      <c r="F386" s="1"/>
      <c r="G386" s="1"/>
      <c r="H386" s="1"/>
    </row>
    <row r="387" spans="2:8">
      <c r="B387" s="1"/>
      <c r="C387" s="1"/>
      <c r="D387" s="1"/>
      <c r="E387" s="1"/>
      <c r="F387" s="1"/>
      <c r="G387" s="1"/>
      <c r="H387" s="1"/>
    </row>
    <row r="388" spans="2:8">
      <c r="B388" s="1"/>
      <c r="C388" s="1"/>
      <c r="D388" s="1"/>
      <c r="E388" s="1"/>
      <c r="F388" s="1"/>
      <c r="G388" s="1"/>
      <c r="H388" s="1"/>
    </row>
    <row r="389" spans="2:8">
      <c r="B389" s="1"/>
      <c r="C389" s="1"/>
      <c r="D389" s="1"/>
      <c r="E389" s="1"/>
      <c r="F389" s="1"/>
      <c r="G389" s="1"/>
      <c r="H389" s="1"/>
    </row>
    <row r="390" spans="2:8">
      <c r="B390" s="1"/>
      <c r="C390" s="1"/>
      <c r="D390" s="1"/>
      <c r="E390" s="1"/>
      <c r="F390" s="1"/>
      <c r="G390" s="1"/>
      <c r="H390" s="1"/>
    </row>
    <row r="391" spans="2:8">
      <c r="B391" s="1"/>
      <c r="C391" s="1"/>
      <c r="D391" s="1"/>
      <c r="E391" s="1"/>
      <c r="F391" s="1"/>
      <c r="G391" s="1"/>
      <c r="H391" s="1"/>
    </row>
    <row r="392" spans="2:8">
      <c r="B392" s="1"/>
      <c r="C392" s="1"/>
      <c r="D392" s="1"/>
      <c r="E392" s="1"/>
      <c r="F392" s="1"/>
      <c r="G392" s="1"/>
      <c r="H392" s="1"/>
    </row>
    <row r="393" spans="2:8">
      <c r="B393" s="1"/>
      <c r="C393" s="1"/>
      <c r="D393" s="1"/>
      <c r="E393" s="1"/>
      <c r="F393" s="1"/>
      <c r="G393" s="1"/>
      <c r="H393" s="1"/>
    </row>
    <row r="394" spans="2:8">
      <c r="B394" s="1"/>
      <c r="C394" s="1"/>
      <c r="D394" s="1"/>
      <c r="E394" s="1"/>
      <c r="F394" s="1"/>
      <c r="G394" s="1"/>
      <c r="H394" s="1"/>
    </row>
    <row r="395" spans="2:8">
      <c r="B395" s="1"/>
      <c r="C395" s="1"/>
      <c r="D395" s="1"/>
      <c r="E395" s="1"/>
      <c r="F395" s="1"/>
      <c r="G395" s="1"/>
      <c r="H395" s="1"/>
    </row>
    <row r="396" spans="2:8">
      <c r="B396" s="1"/>
      <c r="C396" s="1"/>
      <c r="D396" s="1"/>
      <c r="E396" s="1"/>
      <c r="F396" s="1"/>
      <c r="G396" s="1"/>
      <c r="H396" s="1"/>
    </row>
    <row r="397" spans="2:8">
      <c r="B397" s="1"/>
      <c r="C397" s="1"/>
      <c r="D397" s="1"/>
      <c r="E397" s="1"/>
      <c r="F397" s="1"/>
      <c r="G397" s="1"/>
      <c r="H397" s="1"/>
    </row>
    <row r="398" spans="2:8">
      <c r="B398" s="1"/>
      <c r="C398" s="1"/>
      <c r="D398" s="1"/>
      <c r="E398" s="1"/>
      <c r="F398" s="1"/>
      <c r="G398" s="1"/>
      <c r="H398" s="1"/>
    </row>
    <row r="399" spans="2:8">
      <c r="B399" s="1"/>
      <c r="C399" s="1"/>
      <c r="D399" s="1"/>
      <c r="E399" s="1"/>
      <c r="F399" s="1"/>
      <c r="G399" s="1"/>
      <c r="H399" s="1"/>
    </row>
    <row r="400" spans="2:8">
      <c r="B400" s="1"/>
      <c r="C400" s="1"/>
      <c r="D400" s="1"/>
      <c r="E400" s="1"/>
      <c r="F400" s="1"/>
      <c r="G400" s="1"/>
      <c r="H400" s="1"/>
    </row>
    <row r="401" spans="2:8">
      <c r="B401" s="1"/>
      <c r="C401" s="1"/>
      <c r="D401" s="1"/>
      <c r="E401" s="1"/>
      <c r="F401" s="1"/>
      <c r="G401" s="1"/>
      <c r="H401" s="1"/>
    </row>
    <row r="402" spans="2:8">
      <c r="B402" s="1"/>
      <c r="C402" s="1"/>
      <c r="D402" s="1"/>
      <c r="E402" s="1"/>
      <c r="F402" s="1"/>
      <c r="G402" s="1"/>
      <c r="H402" s="1"/>
    </row>
    <row r="403" spans="2:8">
      <c r="B403" s="1"/>
      <c r="C403" s="1"/>
      <c r="D403" s="1"/>
      <c r="E403" s="1"/>
      <c r="F403" s="1"/>
      <c r="G403" s="1"/>
      <c r="H403" s="1"/>
    </row>
    <row r="404" spans="2:8">
      <c r="B404" s="1"/>
      <c r="C404" s="1"/>
      <c r="D404" s="1"/>
      <c r="E404" s="1"/>
      <c r="F404" s="1"/>
      <c r="G404" s="1"/>
      <c r="H404" s="1"/>
    </row>
    <row r="405" spans="2:8">
      <c r="B405" s="1"/>
      <c r="C405" s="1"/>
      <c r="D405" s="1"/>
      <c r="E405" s="1"/>
      <c r="F405" s="1"/>
      <c r="G405" s="1"/>
      <c r="H405" s="1"/>
    </row>
    <row r="406" spans="2:8">
      <c r="B406" s="1"/>
      <c r="C406" s="1"/>
      <c r="D406" s="1"/>
      <c r="E406" s="1"/>
      <c r="F406" s="1"/>
      <c r="G406" s="1"/>
      <c r="H406" s="1"/>
    </row>
    <row r="407" spans="2:8">
      <c r="B407" s="1"/>
      <c r="C407" s="1"/>
      <c r="D407" s="1"/>
      <c r="E407" s="1"/>
      <c r="F407" s="1"/>
      <c r="G407" s="1"/>
      <c r="H407" s="1"/>
    </row>
    <row r="408" spans="2:8">
      <c r="B408" s="1"/>
      <c r="C408" s="1"/>
      <c r="D408" s="1"/>
      <c r="E408" s="1"/>
      <c r="F408" s="1"/>
      <c r="G408" s="1"/>
      <c r="H408" s="1"/>
    </row>
    <row r="409" spans="2:8">
      <c r="B409" s="1"/>
      <c r="C409" s="1"/>
      <c r="D409" s="1"/>
      <c r="E409" s="1"/>
      <c r="F409" s="1"/>
      <c r="G409" s="1"/>
      <c r="H409" s="1"/>
    </row>
    <row r="410" spans="2:8">
      <c r="B410" s="1"/>
      <c r="C410" s="1"/>
      <c r="D410" s="1"/>
      <c r="E410" s="1"/>
      <c r="F410" s="1"/>
      <c r="G410" s="1"/>
      <c r="H410" s="1"/>
    </row>
    <row r="411" spans="2:8">
      <c r="B411" s="1"/>
      <c r="C411" s="1"/>
      <c r="D411" s="1"/>
      <c r="E411" s="1"/>
      <c r="F411" s="1"/>
      <c r="G411" s="1"/>
      <c r="H411" s="1"/>
    </row>
    <row r="412" spans="2:8">
      <c r="B412" s="1"/>
      <c r="C412" s="1"/>
      <c r="D412" s="1"/>
      <c r="E412" s="1"/>
      <c r="F412" s="1"/>
      <c r="G412" s="1"/>
      <c r="H412" s="1"/>
    </row>
    <row r="413" spans="2:8">
      <c r="B413" s="1"/>
      <c r="C413" s="1"/>
      <c r="D413" s="1"/>
      <c r="E413" s="1"/>
      <c r="F413" s="1"/>
      <c r="G413" s="1"/>
      <c r="H413" s="1"/>
    </row>
    <row r="414" spans="2:8">
      <c r="B414" s="1"/>
      <c r="C414" s="1"/>
      <c r="D414" s="1"/>
      <c r="E414" s="1"/>
      <c r="F414" s="1"/>
      <c r="G414" s="1"/>
      <c r="H414" s="1"/>
    </row>
    <row r="415" spans="2:8">
      <c r="B415" s="1"/>
      <c r="C415" s="1"/>
      <c r="D415" s="1"/>
      <c r="E415" s="1"/>
      <c r="F415" s="1"/>
      <c r="G415" s="1"/>
      <c r="H415" s="1"/>
    </row>
    <row r="416" spans="2:8">
      <c r="B416" s="1"/>
      <c r="C416" s="1"/>
      <c r="D416" s="1"/>
      <c r="E416" s="1"/>
      <c r="F416" s="1"/>
      <c r="G416" s="1"/>
      <c r="H416" s="1"/>
    </row>
    <row r="417" spans="2:8">
      <c r="B417" s="1"/>
      <c r="C417" s="1"/>
      <c r="D417" s="1"/>
      <c r="E417" s="1"/>
      <c r="F417" s="1"/>
      <c r="G417" s="1"/>
      <c r="H417" s="1"/>
    </row>
    <row r="418" spans="2:8">
      <c r="B418" s="1"/>
      <c r="C418" s="1"/>
      <c r="D418" s="1"/>
      <c r="E418" s="1"/>
      <c r="F418" s="1"/>
      <c r="G418" s="1"/>
      <c r="H418" s="1"/>
    </row>
    <row r="419" spans="2:8">
      <c r="B419" s="1"/>
      <c r="C419" s="1"/>
      <c r="D419" s="1"/>
      <c r="E419" s="1"/>
      <c r="F419" s="1"/>
      <c r="G419" s="1"/>
      <c r="H419" s="1"/>
    </row>
    <row r="420" spans="2:8">
      <c r="B420" s="1"/>
      <c r="C420" s="1"/>
      <c r="D420" s="1"/>
      <c r="E420" s="1"/>
      <c r="F420" s="1"/>
      <c r="G420" s="1"/>
      <c r="H420" s="1"/>
    </row>
    <row r="421" spans="2:8">
      <c r="B421" s="1"/>
      <c r="C421" s="1"/>
      <c r="D421" s="1"/>
      <c r="E421" s="1"/>
      <c r="F421" s="1"/>
      <c r="G421" s="1"/>
      <c r="H421" s="1"/>
    </row>
    <row r="422" spans="2:8">
      <c r="B422" s="1"/>
      <c r="C422" s="1"/>
      <c r="D422" s="1"/>
      <c r="E422" s="1"/>
      <c r="F422" s="1"/>
      <c r="G422" s="1"/>
      <c r="H422" s="1"/>
    </row>
    <row r="423" spans="2:8">
      <c r="B423" s="1"/>
      <c r="C423" s="1"/>
      <c r="D423" s="1"/>
      <c r="E423" s="1"/>
      <c r="F423" s="1"/>
      <c r="G423" s="1"/>
      <c r="H423" s="1"/>
    </row>
    <row r="424" spans="2:8">
      <c r="B424" s="1"/>
      <c r="C424" s="1"/>
      <c r="D424" s="1"/>
      <c r="E424" s="1"/>
      <c r="F424" s="1"/>
      <c r="G424" s="1"/>
      <c r="H424" s="1"/>
    </row>
  </sheetData>
  <mergeCells count="12">
    <mergeCell ref="B3:G3"/>
    <mergeCell ref="B5:C9"/>
    <mergeCell ref="D5:G5"/>
    <mergeCell ref="D6:G6"/>
    <mergeCell ref="B12:C14"/>
    <mergeCell ref="D8:G8"/>
    <mergeCell ref="B24:G24"/>
    <mergeCell ref="C32:F32"/>
    <mergeCell ref="C31:F31"/>
    <mergeCell ref="B18:C20"/>
    <mergeCell ref="D7:G7"/>
    <mergeCell ref="D9:G9"/>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AK485"/>
  <sheetViews>
    <sheetView topLeftCell="A384" zoomScale="80" zoomScaleNormal="80" workbookViewId="0">
      <selection activeCell="B400" sqref="B400:M400"/>
    </sheetView>
  </sheetViews>
  <sheetFormatPr defaultColWidth="11.44140625" defaultRowHeight="14.4"/>
  <cols>
    <col min="1" max="1" width="11.44140625" style="1"/>
    <col min="2" max="2" width="17" customWidth="1"/>
    <col min="3" max="3" width="12" customWidth="1"/>
    <col min="4" max="4" width="9.5546875" customWidth="1"/>
    <col min="5" max="5" width="17.33203125" customWidth="1"/>
    <col min="6" max="6" width="13" customWidth="1"/>
    <col min="7" max="7" width="20" customWidth="1"/>
    <col min="8" max="8" width="15.88671875" customWidth="1"/>
    <col min="11" max="11" width="9.5546875" customWidth="1"/>
    <col min="13" max="13" width="13.33203125" customWidth="1"/>
    <col min="14" max="14" width="5.6640625" style="10" customWidth="1"/>
    <col min="15" max="15" width="42.109375" style="10" customWidth="1"/>
    <col min="16" max="18" width="0" style="10" hidden="1" customWidth="1"/>
    <col min="19" max="19" width="0" style="1" hidden="1" customWidth="1"/>
    <col min="20" max="20" width="29.44140625" style="1" customWidth="1"/>
    <col min="21" max="21" width="11.44140625" style="216"/>
  </cols>
  <sheetData>
    <row r="1" spans="2:29" ht="22.2" thickBot="1">
      <c r="B1" s="938" t="s">
        <v>181</v>
      </c>
      <c r="C1" s="939"/>
      <c r="D1" s="940" t="s">
        <v>367</v>
      </c>
      <c r="E1" s="939"/>
      <c r="F1" s="941"/>
      <c r="G1" s="941"/>
      <c r="H1" s="942"/>
      <c r="I1" s="942"/>
      <c r="J1" s="942"/>
      <c r="K1" s="942"/>
      <c r="L1" s="943"/>
      <c r="M1" s="944"/>
    </row>
    <row r="2" spans="2:29" ht="16.2">
      <c r="B2" s="2074" t="e">
        <f>#REF!</f>
        <v>#REF!</v>
      </c>
      <c r="C2" s="2075"/>
      <c r="D2" s="2075"/>
      <c r="E2" s="2075"/>
      <c r="F2" s="2075"/>
      <c r="G2" s="2075"/>
      <c r="H2" s="100"/>
      <c r="I2" s="101"/>
      <c r="J2" s="101"/>
      <c r="K2" s="101"/>
      <c r="L2" s="102"/>
      <c r="M2" s="186"/>
    </row>
    <row r="3" spans="2:29">
      <c r="B3" s="2076"/>
      <c r="C3" s="2077"/>
      <c r="D3" s="2077"/>
      <c r="E3" s="2077"/>
      <c r="F3" s="2077"/>
      <c r="G3" s="2077"/>
      <c r="H3" s="71"/>
      <c r="I3" s="103"/>
      <c r="J3" s="2080" t="s">
        <v>183</v>
      </c>
      <c r="K3" s="2081"/>
      <c r="L3" s="2081"/>
      <c r="M3" s="2082"/>
      <c r="O3" s="10" t="s">
        <v>629</v>
      </c>
    </row>
    <row r="4" spans="2:29" ht="15" thickBot="1">
      <c r="B4" s="2078"/>
      <c r="C4" s="2079"/>
      <c r="D4" s="2079"/>
      <c r="E4" s="2079"/>
      <c r="F4" s="2079"/>
      <c r="G4" s="2079"/>
      <c r="H4" s="71"/>
      <c r="I4" s="103"/>
      <c r="J4" s="2080"/>
      <c r="K4" s="2081"/>
      <c r="L4" s="2081"/>
      <c r="M4" s="2082"/>
      <c r="O4" s="10" t="s">
        <v>416</v>
      </c>
    </row>
    <row r="5" spans="2:29">
      <c r="B5" s="2086" t="e">
        <f>#REF!</f>
        <v>#REF!</v>
      </c>
      <c r="C5" s="2087"/>
      <c r="D5" s="2087"/>
      <c r="E5" s="2087"/>
      <c r="F5" s="2087"/>
      <c r="G5" s="2087"/>
      <c r="H5" s="71"/>
      <c r="I5" s="103"/>
      <c r="J5" s="2080"/>
      <c r="K5" s="2081"/>
      <c r="L5" s="2081"/>
      <c r="M5" s="2082"/>
    </row>
    <row r="6" spans="2:29">
      <c r="B6" s="2088"/>
      <c r="C6" s="2089"/>
      <c r="D6" s="2089"/>
      <c r="E6" s="2089"/>
      <c r="F6" s="2089"/>
      <c r="G6" s="2089"/>
      <c r="H6" s="71"/>
      <c r="I6" s="103"/>
      <c r="J6" s="2080"/>
      <c r="K6" s="2081"/>
      <c r="L6" s="2081"/>
      <c r="M6" s="2082"/>
    </row>
    <row r="7" spans="2:29" ht="15" thickBot="1">
      <c r="B7" s="2090"/>
      <c r="C7" s="2091"/>
      <c r="D7" s="2091"/>
      <c r="E7" s="2091" t="b">
        <v>0</v>
      </c>
      <c r="F7" s="2091"/>
      <c r="G7" s="2091" t="b">
        <v>0</v>
      </c>
      <c r="H7" s="187"/>
      <c r="I7" s="188"/>
      <c r="J7" s="2083"/>
      <c r="K7" s="2084"/>
      <c r="L7" s="2084"/>
      <c r="M7" s="2085"/>
    </row>
    <row r="8" spans="2:29" ht="19.2" thickBot="1">
      <c r="B8" s="206"/>
      <c r="C8" s="207"/>
      <c r="D8" s="207"/>
      <c r="E8" s="207"/>
      <c r="F8" s="207"/>
      <c r="G8" s="217" t="s">
        <v>365</v>
      </c>
      <c r="H8" s="205"/>
      <c r="I8" s="205"/>
      <c r="J8" s="214"/>
      <c r="K8" s="214"/>
      <c r="L8" s="214"/>
      <c r="M8" s="215"/>
    </row>
    <row r="9" spans="2:29" ht="19.2" thickBot="1">
      <c r="B9" s="206"/>
      <c r="C9" s="208"/>
      <c r="D9" s="208"/>
      <c r="E9" s="208"/>
      <c r="F9" s="208"/>
      <c r="G9" s="218" t="s">
        <v>8</v>
      </c>
      <c r="H9" s="209"/>
      <c r="I9" s="205"/>
      <c r="J9" s="214"/>
      <c r="K9" s="214"/>
      <c r="L9" s="214"/>
      <c r="M9" s="215"/>
    </row>
    <row r="10" spans="2:29" ht="19.2" thickBot="1">
      <c r="B10" s="206"/>
      <c r="C10" s="210"/>
      <c r="D10" s="210"/>
      <c r="E10" s="210"/>
      <c r="F10" s="209"/>
      <c r="G10" s="218" t="s">
        <v>628</v>
      </c>
      <c r="H10" s="209"/>
      <c r="I10" s="210"/>
      <c r="J10" s="210"/>
      <c r="K10" s="210"/>
      <c r="L10" s="210"/>
      <c r="M10" s="215"/>
    </row>
    <row r="11" spans="2:29" ht="19.2" thickBot="1">
      <c r="B11" s="206"/>
      <c r="C11" s="548"/>
      <c r="D11" s="548"/>
      <c r="E11" s="548"/>
      <c r="F11" s="209"/>
      <c r="G11" s="209"/>
      <c r="H11" s="209"/>
      <c r="I11" s="548"/>
      <c r="J11" s="548"/>
      <c r="K11" s="548"/>
      <c r="L11" s="548"/>
      <c r="M11" s="215"/>
    </row>
    <row r="12" spans="2:29" ht="19.2" thickBot="1">
      <c r="B12" s="206"/>
      <c r="C12" s="211"/>
      <c r="D12" s="208"/>
      <c r="E12" s="208"/>
      <c r="F12" s="209"/>
      <c r="G12" s="218" t="s">
        <v>361</v>
      </c>
      <c r="H12" s="209"/>
      <c r="I12" s="205"/>
      <c r="J12" s="214"/>
      <c r="K12" s="214"/>
      <c r="L12" s="214"/>
      <c r="M12" s="215"/>
    </row>
    <row r="13" spans="2:29" ht="19.2" thickBot="1">
      <c r="B13" s="206"/>
      <c r="C13" s="208"/>
      <c r="D13" s="208"/>
      <c r="E13" s="208"/>
      <c r="F13" s="209"/>
      <c r="G13" s="218" t="s">
        <v>362</v>
      </c>
      <c r="H13" s="209"/>
      <c r="I13" s="205"/>
      <c r="J13" s="214"/>
      <c r="K13" s="214"/>
      <c r="L13" s="214"/>
      <c r="M13" s="215"/>
    </row>
    <row r="14" spans="2:29" ht="19.2" thickBot="1">
      <c r="B14" s="206"/>
      <c r="C14" s="208"/>
      <c r="D14" s="208"/>
      <c r="E14" s="208"/>
      <c r="F14" s="209"/>
      <c r="G14" s="218" t="s">
        <v>363</v>
      </c>
      <c r="H14" s="209"/>
      <c r="I14" s="205"/>
      <c r="J14" s="214"/>
      <c r="K14" s="214"/>
      <c r="L14" s="214"/>
      <c r="M14" s="215"/>
      <c r="U14" s="2117" t="s">
        <v>368</v>
      </c>
      <c r="V14" s="2118"/>
      <c r="W14" s="2118"/>
      <c r="X14" s="2118"/>
      <c r="Y14" s="2118"/>
      <c r="Z14" s="2118"/>
      <c r="AA14" s="2118"/>
      <c r="AB14" s="2118"/>
      <c r="AC14" s="2118"/>
    </row>
    <row r="15" spans="2:29" ht="19.2" thickBot="1">
      <c r="B15" s="206"/>
      <c r="C15" s="208"/>
      <c r="D15" s="208"/>
      <c r="E15" s="208"/>
      <c r="F15" s="209"/>
      <c r="G15" s="218" t="s">
        <v>364</v>
      </c>
      <c r="H15" s="209"/>
      <c r="I15" s="205"/>
      <c r="J15" s="214"/>
      <c r="K15" s="214"/>
      <c r="L15" s="214"/>
      <c r="M15" s="215"/>
      <c r="U15" s="2117"/>
      <c r="V15" s="2118"/>
      <c r="W15" s="2118"/>
      <c r="X15" s="2118"/>
      <c r="Y15" s="2118"/>
      <c r="Z15" s="2118"/>
      <c r="AA15" s="2118"/>
      <c r="AB15" s="2118"/>
      <c r="AC15" s="2118"/>
    </row>
    <row r="16" spans="2:29" ht="18.600000000000001">
      <c r="B16" s="520"/>
      <c r="C16" s="521"/>
      <c r="D16" s="521"/>
      <c r="E16" s="521"/>
      <c r="F16" s="522"/>
      <c r="G16" s="523"/>
      <c r="H16" s="522"/>
      <c r="I16" s="7"/>
      <c r="J16" s="213"/>
      <c r="K16" s="213"/>
      <c r="L16" s="213"/>
      <c r="M16" s="213"/>
    </row>
    <row r="17" spans="2:37" ht="19.2" thickBot="1">
      <c r="B17" s="520"/>
      <c r="C17" s="521"/>
      <c r="D17" s="521"/>
      <c r="E17" s="521"/>
      <c r="F17" s="522"/>
      <c r="G17" s="523"/>
      <c r="H17" s="522"/>
      <c r="I17" s="7"/>
      <c r="J17" s="213"/>
      <c r="K17" s="213"/>
      <c r="L17" s="213"/>
      <c r="M17" s="213"/>
      <c r="U17" s="2061" t="s">
        <v>369</v>
      </c>
      <c r="V17" s="2062"/>
      <c r="W17" s="2062"/>
      <c r="X17" s="2062"/>
      <c r="Y17" s="2062"/>
      <c r="Z17" s="2062"/>
      <c r="AA17" s="2062"/>
      <c r="AB17" s="2062"/>
      <c r="AC17" s="2062"/>
      <c r="AD17" s="221" t="s">
        <v>370</v>
      </c>
      <c r="AE17" s="222"/>
      <c r="AF17" s="222"/>
      <c r="AG17" s="222"/>
      <c r="AH17" s="222"/>
      <c r="AI17" s="222"/>
      <c r="AJ17" s="222"/>
      <c r="AK17" s="222"/>
    </row>
    <row r="18" spans="2:37" ht="18.600000000000001" thickBot="1">
      <c r="B18" s="2126" t="s">
        <v>8</v>
      </c>
      <c r="C18" s="2127"/>
      <c r="D18" s="2127"/>
      <c r="E18" s="2127"/>
      <c r="F18" s="2127"/>
      <c r="G18" s="2127"/>
      <c r="H18" s="2127"/>
      <c r="I18" s="2127"/>
      <c r="J18" s="2127"/>
      <c r="K18" s="2127"/>
      <c r="L18" s="2127"/>
      <c r="M18" s="2128"/>
      <c r="U18" s="2061"/>
      <c r="V18" s="2062"/>
      <c r="W18" s="2062"/>
      <c r="X18" s="2062"/>
      <c r="Y18" s="2062"/>
      <c r="Z18" s="2062"/>
      <c r="AA18" s="2062"/>
      <c r="AB18" s="2062"/>
      <c r="AC18" s="2062"/>
      <c r="AD18" s="2119" t="s">
        <v>371</v>
      </c>
      <c r="AE18" s="2119"/>
      <c r="AF18" s="2119"/>
      <c r="AG18" s="2119"/>
      <c r="AH18" s="2119"/>
      <c r="AI18" s="2119"/>
      <c r="AJ18" s="2119"/>
      <c r="AK18" s="2119"/>
    </row>
    <row r="19" spans="2:37">
      <c r="B19" s="2129" t="s">
        <v>1</v>
      </c>
      <c r="C19" s="2130"/>
      <c r="D19" s="2130"/>
      <c r="E19" s="2130"/>
      <c r="F19" s="2130"/>
      <c r="G19" s="2131"/>
      <c r="H19" s="2131"/>
      <c r="I19" s="2131"/>
      <c r="J19" s="2131"/>
      <c r="K19" s="2131"/>
      <c r="L19" s="2131"/>
      <c r="M19" s="2132"/>
      <c r="U19" s="223"/>
      <c r="V19" s="222"/>
      <c r="W19" s="222"/>
      <c r="X19" s="222"/>
      <c r="Y19" s="222"/>
      <c r="Z19" s="222"/>
      <c r="AA19" s="222"/>
      <c r="AB19" s="222"/>
      <c r="AC19" s="222"/>
      <c r="AD19" s="2119"/>
      <c r="AE19" s="2119"/>
      <c r="AF19" s="2119"/>
      <c r="AG19" s="2119"/>
      <c r="AH19" s="2119"/>
      <c r="AI19" s="2119"/>
      <c r="AJ19" s="2119"/>
      <c r="AK19" s="2119"/>
    </row>
    <row r="20" spans="2:37">
      <c r="B20" s="1936" t="s">
        <v>4</v>
      </c>
      <c r="C20" s="1937"/>
      <c r="D20" s="1937"/>
      <c r="E20" s="1937"/>
      <c r="F20" s="1937"/>
      <c r="G20" s="369"/>
      <c r="H20" s="2095" t="s">
        <v>159</v>
      </c>
      <c r="I20" s="2095"/>
      <c r="J20" s="2095"/>
      <c r="K20" s="2095"/>
      <c r="L20" s="2095"/>
      <c r="M20" s="2096"/>
      <c r="U20" s="223"/>
      <c r="V20" s="222"/>
      <c r="W20" s="222"/>
      <c r="X20" s="222"/>
      <c r="Y20" s="222"/>
      <c r="Z20" s="222"/>
      <c r="AA20" s="222"/>
      <c r="AB20" s="222"/>
      <c r="AC20" s="222"/>
      <c r="AD20" s="2119"/>
      <c r="AE20" s="2119"/>
      <c r="AF20" s="2119"/>
      <c r="AG20" s="2119"/>
      <c r="AH20" s="2119"/>
      <c r="AI20" s="2119"/>
      <c r="AJ20" s="2119"/>
      <c r="AK20" s="2119"/>
    </row>
    <row r="21" spans="2:37">
      <c r="B21" s="1936" t="s">
        <v>5</v>
      </c>
      <c r="C21" s="1937"/>
      <c r="D21" s="1937"/>
      <c r="E21" s="1937"/>
      <c r="F21" s="1937"/>
      <c r="G21" s="370"/>
      <c r="H21" s="2095"/>
      <c r="I21" s="2095"/>
      <c r="J21" s="2095"/>
      <c r="K21" s="2095"/>
      <c r="L21" s="2095"/>
      <c r="M21" s="2096"/>
      <c r="U21" s="223"/>
      <c r="V21" s="222"/>
      <c r="W21" s="222"/>
      <c r="X21" s="222"/>
      <c r="Y21" s="222"/>
      <c r="Z21" s="222"/>
      <c r="AA21" s="222"/>
      <c r="AB21" s="222"/>
      <c r="AC21" s="222"/>
      <c r="AD21" s="221" t="s">
        <v>372</v>
      </c>
      <c r="AE21" s="222"/>
      <c r="AF21" s="222"/>
      <c r="AG21" s="222"/>
      <c r="AH21" s="222"/>
      <c r="AI21" s="222"/>
      <c r="AJ21" s="222"/>
      <c r="AK21" s="222"/>
    </row>
    <row r="22" spans="2:37">
      <c r="B22" s="1936" t="s">
        <v>119</v>
      </c>
      <c r="C22" s="1937"/>
      <c r="D22" s="1937"/>
      <c r="E22" s="1937"/>
      <c r="F22" s="1937"/>
      <c r="G22" s="369"/>
      <c r="H22" s="2095"/>
      <c r="I22" s="2095"/>
      <c r="J22" s="2095"/>
      <c r="K22" s="2095"/>
      <c r="L22" s="2095"/>
      <c r="M22" s="2096"/>
      <c r="U22" s="223"/>
      <c r="V22" s="222"/>
      <c r="W22" s="222"/>
      <c r="X22" s="222"/>
      <c r="Y22" s="222"/>
      <c r="Z22" s="222"/>
      <c r="AA22" s="222"/>
      <c r="AB22" s="222"/>
      <c r="AC22" s="222"/>
      <c r="AD22" s="224" t="s">
        <v>373</v>
      </c>
      <c r="AE22" s="222"/>
      <c r="AF22" s="222"/>
      <c r="AG22" s="222"/>
      <c r="AH22" s="222"/>
      <c r="AI22" s="222"/>
      <c r="AJ22" s="222"/>
      <c r="AK22" s="222"/>
    </row>
    <row r="23" spans="2:37">
      <c r="B23" s="1936" t="s">
        <v>120</v>
      </c>
      <c r="C23" s="1937"/>
      <c r="D23" s="1937"/>
      <c r="E23" s="1937"/>
      <c r="F23" s="1937"/>
      <c r="G23" s="371"/>
      <c r="H23" s="2092" t="str">
        <f>IF(G23&lt;=G20,"","Les travaux ont commencés avant la date de dépôt du dossier: le projet n'est plus finançable")</f>
        <v/>
      </c>
      <c r="I23" s="2093"/>
      <c r="J23" s="2093"/>
      <c r="K23" s="2093"/>
      <c r="L23" s="2093"/>
      <c r="M23" s="2094"/>
      <c r="U23" s="223"/>
      <c r="V23" s="222"/>
      <c r="W23" s="222"/>
      <c r="X23" s="222"/>
      <c r="Y23" s="222"/>
      <c r="Z23" s="222"/>
      <c r="AA23" s="222"/>
      <c r="AB23" s="222"/>
      <c r="AC23" s="222"/>
      <c r="AD23" s="224"/>
      <c r="AE23" s="222"/>
      <c r="AF23" s="222"/>
      <c r="AG23" s="222"/>
      <c r="AH23" s="222"/>
      <c r="AI23" s="222"/>
      <c r="AJ23" s="222"/>
      <c r="AK23" s="222"/>
    </row>
    <row r="24" spans="2:37">
      <c r="B24" s="1936" t="s">
        <v>96</v>
      </c>
      <c r="C24" s="1937"/>
      <c r="D24" s="1937"/>
      <c r="E24" s="1937"/>
      <c r="F24" s="1937"/>
      <c r="G24" s="541" t="s">
        <v>40</v>
      </c>
      <c r="H24" s="2095" t="s">
        <v>159</v>
      </c>
      <c r="I24" s="2095"/>
      <c r="J24" s="2095"/>
      <c r="K24" s="2095"/>
      <c r="L24" s="2095"/>
      <c r="M24" s="2096"/>
      <c r="U24" s="223"/>
      <c r="V24" s="222"/>
      <c r="W24" s="222"/>
      <c r="X24" s="222"/>
      <c r="Y24" s="222"/>
      <c r="Z24" s="222"/>
      <c r="AA24" s="222"/>
      <c r="AB24" s="222"/>
      <c r="AC24" s="222"/>
      <c r="AD24" s="221" t="s">
        <v>374</v>
      </c>
      <c r="AE24" s="222"/>
      <c r="AF24" s="222"/>
      <c r="AG24" s="222"/>
      <c r="AH24" s="222"/>
      <c r="AI24" s="222"/>
      <c r="AJ24" s="222"/>
      <c r="AK24" s="222"/>
    </row>
    <row r="25" spans="2:37">
      <c r="B25" s="1936" t="s">
        <v>118</v>
      </c>
      <c r="C25" s="1937"/>
      <c r="D25" s="1937"/>
      <c r="E25" s="1937"/>
      <c r="F25" s="1937"/>
      <c r="G25" s="541" t="s">
        <v>202</v>
      </c>
      <c r="H25" s="2095"/>
      <c r="I25" s="2095"/>
      <c r="J25" s="2095"/>
      <c r="K25" s="2095"/>
      <c r="L25" s="2095"/>
      <c r="M25" s="2096"/>
      <c r="U25" s="223"/>
      <c r="V25" s="222"/>
      <c r="W25" s="222"/>
      <c r="X25" s="222"/>
      <c r="Y25" s="222"/>
      <c r="Z25" s="222"/>
      <c r="AA25" s="222"/>
      <c r="AB25" s="222"/>
      <c r="AC25" s="222"/>
      <c r="AD25" s="224"/>
      <c r="AE25" s="222"/>
      <c r="AF25" s="222"/>
      <c r="AG25" s="222"/>
      <c r="AH25" s="222"/>
      <c r="AI25" s="222"/>
      <c r="AJ25" s="222"/>
      <c r="AK25" s="222"/>
    </row>
    <row r="26" spans="2:37">
      <c r="B26" s="527"/>
      <c r="C26" s="528"/>
      <c r="D26" s="528"/>
      <c r="E26" s="528"/>
      <c r="F26" s="529" t="s">
        <v>591</v>
      </c>
      <c r="G26" s="542" t="s">
        <v>470</v>
      </c>
      <c r="H26" s="532"/>
      <c r="I26" s="533"/>
      <c r="J26" s="533"/>
      <c r="K26" s="533"/>
      <c r="L26" s="533"/>
      <c r="M26" s="534"/>
      <c r="U26" s="223"/>
      <c r="V26" s="222"/>
      <c r="W26" s="222"/>
      <c r="X26" s="222"/>
      <c r="Y26" s="222"/>
      <c r="Z26" s="222"/>
      <c r="AA26" s="222"/>
      <c r="AB26" s="222"/>
      <c r="AC26" s="222"/>
      <c r="AD26" s="221" t="s">
        <v>375</v>
      </c>
      <c r="AE26" s="222"/>
      <c r="AF26" s="222"/>
      <c r="AG26" s="222"/>
      <c r="AH26" s="222"/>
      <c r="AI26" s="222"/>
      <c r="AJ26" s="222"/>
      <c r="AK26" s="222"/>
    </row>
    <row r="27" spans="2:37">
      <c r="B27" s="527"/>
      <c r="C27" s="528"/>
      <c r="D27" s="528"/>
      <c r="E27" s="528"/>
      <c r="F27" s="529" t="s">
        <v>590</v>
      </c>
      <c r="G27" s="542" t="s">
        <v>442</v>
      </c>
      <c r="H27" s="532"/>
      <c r="I27" s="533"/>
      <c r="J27" s="533"/>
      <c r="K27" s="533"/>
      <c r="L27" s="533"/>
      <c r="M27" s="534"/>
      <c r="U27" s="223"/>
      <c r="V27" s="222"/>
      <c r="W27" s="222"/>
      <c r="X27" s="222"/>
      <c r="Y27" s="222"/>
      <c r="Z27" s="222"/>
      <c r="AA27" s="222"/>
      <c r="AB27" s="222"/>
      <c r="AC27" s="222"/>
      <c r="AD27" s="224" t="s">
        <v>377</v>
      </c>
      <c r="AE27" s="222"/>
      <c r="AF27" s="222"/>
      <c r="AG27" s="222"/>
      <c r="AH27" s="222"/>
      <c r="AI27" s="222"/>
      <c r="AJ27" s="222"/>
      <c r="AK27" s="222"/>
    </row>
    <row r="28" spans="2:37">
      <c r="B28" s="2097" t="s">
        <v>587</v>
      </c>
      <c r="C28" s="2098"/>
      <c r="D28" s="2098"/>
      <c r="E28" s="2098"/>
      <c r="F28" s="2099"/>
      <c r="G28" s="542" t="s">
        <v>596</v>
      </c>
      <c r="H28" s="374"/>
      <c r="I28" s="375"/>
      <c r="J28" s="375"/>
      <c r="K28" s="375"/>
      <c r="L28" s="375"/>
      <c r="M28" s="376"/>
      <c r="U28" s="223"/>
      <c r="V28" s="222"/>
      <c r="W28" s="222"/>
      <c r="X28" s="222"/>
      <c r="Y28" s="222"/>
      <c r="Z28" s="222"/>
      <c r="AA28" s="222"/>
      <c r="AB28" s="222"/>
      <c r="AC28" s="222"/>
      <c r="AD28" s="222"/>
      <c r="AE28" s="222"/>
      <c r="AF28" s="222"/>
      <c r="AG28" s="222"/>
      <c r="AH28" s="222"/>
      <c r="AI28" s="222"/>
      <c r="AJ28" s="222"/>
      <c r="AK28" s="222"/>
    </row>
    <row r="29" spans="2:37">
      <c r="B29" s="2100" t="s">
        <v>121</v>
      </c>
      <c r="C29" s="2101"/>
      <c r="D29" s="2101"/>
      <c r="E29" s="2101"/>
      <c r="F29" s="2101"/>
      <c r="G29" s="2104"/>
      <c r="H29" s="2104"/>
      <c r="I29" s="2104"/>
      <c r="J29" s="2104"/>
      <c r="K29" s="2104"/>
      <c r="L29" s="2104"/>
      <c r="M29" s="2105"/>
      <c r="U29" s="223"/>
      <c r="V29" s="222"/>
      <c r="W29" s="222"/>
      <c r="X29" s="222"/>
      <c r="Y29" s="222"/>
      <c r="Z29" s="222"/>
      <c r="AA29" s="222"/>
      <c r="AB29" s="222"/>
      <c r="AC29" s="222"/>
      <c r="AD29" s="221" t="s">
        <v>379</v>
      </c>
      <c r="AE29" s="222"/>
      <c r="AF29" s="222"/>
      <c r="AG29" s="222"/>
      <c r="AH29" s="222"/>
      <c r="AI29" s="222"/>
      <c r="AJ29" s="222"/>
      <c r="AK29" s="222"/>
    </row>
    <row r="30" spans="2:37">
      <c r="B30" s="2100"/>
      <c r="C30" s="2101"/>
      <c r="D30" s="2101"/>
      <c r="E30" s="2101"/>
      <c r="F30" s="2101"/>
      <c r="G30" s="2104"/>
      <c r="H30" s="2104"/>
      <c r="I30" s="2104"/>
      <c r="J30" s="2104"/>
      <c r="K30" s="2104"/>
      <c r="L30" s="2104"/>
      <c r="M30" s="2105"/>
      <c r="U30" s="223"/>
      <c r="V30" s="222"/>
      <c r="W30" s="222"/>
      <c r="X30" s="222"/>
      <c r="Y30" s="222"/>
      <c r="Z30" s="222"/>
      <c r="AA30" s="222"/>
      <c r="AB30" s="222"/>
      <c r="AC30" s="222"/>
      <c r="AD30" s="224" t="s">
        <v>381</v>
      </c>
      <c r="AE30" s="222"/>
      <c r="AF30" s="222"/>
      <c r="AG30" s="222"/>
      <c r="AH30" s="222"/>
      <c r="AI30" s="222"/>
      <c r="AJ30" s="222"/>
      <c r="AK30" s="222"/>
    </row>
    <row r="31" spans="2:37" ht="15" thickBot="1">
      <c r="B31" s="2102"/>
      <c r="C31" s="2103"/>
      <c r="D31" s="2103"/>
      <c r="E31" s="2103"/>
      <c r="F31" s="2103"/>
      <c r="G31" s="2106"/>
      <c r="H31" s="2106"/>
      <c r="I31" s="2106"/>
      <c r="J31" s="2106"/>
      <c r="K31" s="2106"/>
      <c r="L31" s="2106"/>
      <c r="M31" s="2107"/>
      <c r="U31" s="223"/>
      <c r="V31" s="222"/>
      <c r="W31" s="222"/>
      <c r="X31" s="222"/>
      <c r="Y31" s="222"/>
      <c r="Z31" s="222"/>
      <c r="AA31" s="222"/>
      <c r="AB31" s="222"/>
      <c r="AC31" s="222"/>
      <c r="AD31" s="222"/>
      <c r="AE31" s="222"/>
      <c r="AF31" s="222"/>
      <c r="AG31" s="222"/>
      <c r="AH31" s="222"/>
      <c r="AI31" s="222"/>
      <c r="AJ31" s="222"/>
      <c r="AK31" s="222"/>
    </row>
    <row r="32" spans="2:37" ht="18" thickBot="1">
      <c r="B32" s="2108" t="s">
        <v>122</v>
      </c>
      <c r="C32" s="2109"/>
      <c r="D32" s="2109"/>
      <c r="E32" s="326" t="s">
        <v>150</v>
      </c>
      <c r="F32" s="2110" t="s">
        <v>156</v>
      </c>
      <c r="G32" s="2111"/>
      <c r="H32" s="2120" t="s">
        <v>123</v>
      </c>
      <c r="I32" s="2120"/>
      <c r="J32" s="2120"/>
      <c r="K32" s="2120"/>
      <c r="L32" s="377" t="s">
        <v>124</v>
      </c>
      <c r="M32" s="378" t="s">
        <v>125</v>
      </c>
      <c r="S32" s="10"/>
      <c r="U32" s="223"/>
      <c r="V32" s="222"/>
      <c r="W32" s="222"/>
      <c r="X32" s="222"/>
      <c r="Y32" s="222"/>
      <c r="Z32" s="222"/>
      <c r="AA32" s="222"/>
      <c r="AB32" s="222"/>
      <c r="AC32" s="222"/>
      <c r="AD32" s="221" t="s">
        <v>382</v>
      </c>
      <c r="AE32" s="222"/>
      <c r="AF32" s="222"/>
      <c r="AG32" s="222"/>
      <c r="AH32" s="222"/>
      <c r="AI32" s="222"/>
      <c r="AJ32" s="222"/>
      <c r="AK32" s="222"/>
    </row>
    <row r="33" spans="2:37">
      <c r="B33" s="2121" t="s">
        <v>179</v>
      </c>
      <c r="C33" s="2122"/>
      <c r="D33" s="2122"/>
      <c r="E33" s="530"/>
      <c r="F33" s="1949"/>
      <c r="G33" s="1949"/>
      <c r="H33" s="1949"/>
      <c r="I33" s="1949"/>
      <c r="J33" s="1949"/>
      <c r="K33" s="1949"/>
      <c r="L33" s="379"/>
      <c r="M33" s="380"/>
      <c r="S33" s="10"/>
      <c r="U33" s="223"/>
      <c r="V33" s="222"/>
      <c r="W33" s="222"/>
      <c r="X33" s="222"/>
      <c r="Y33" s="222"/>
      <c r="Z33" s="222"/>
      <c r="AA33" s="222"/>
      <c r="AB33" s="222"/>
      <c r="AC33" s="222"/>
      <c r="AD33" s="224" t="s">
        <v>383</v>
      </c>
      <c r="AE33" s="222"/>
      <c r="AF33" s="222"/>
      <c r="AG33" s="222"/>
      <c r="AH33" s="222"/>
      <c r="AI33" s="222"/>
      <c r="AJ33" s="222"/>
      <c r="AK33" s="222"/>
    </row>
    <row r="34" spans="2:37">
      <c r="B34" s="1936" t="s">
        <v>180</v>
      </c>
      <c r="C34" s="1937"/>
      <c r="D34" s="1937"/>
      <c r="E34" s="530"/>
      <c r="F34" s="1941"/>
      <c r="G34" s="1941"/>
      <c r="H34" s="1941"/>
      <c r="I34" s="1941"/>
      <c r="J34" s="1941"/>
      <c r="K34" s="1941"/>
      <c r="L34" s="381"/>
      <c r="M34" s="382"/>
      <c r="S34" s="10"/>
      <c r="U34" s="223"/>
      <c r="V34" s="222"/>
      <c r="W34" s="222"/>
      <c r="X34" s="222"/>
      <c r="Y34" s="222"/>
      <c r="Z34" s="222"/>
      <c r="AA34" s="222"/>
      <c r="AB34" s="222"/>
      <c r="AC34" s="222"/>
      <c r="AD34" s="224" t="s">
        <v>384</v>
      </c>
      <c r="AE34" s="222"/>
      <c r="AF34" s="222"/>
      <c r="AG34" s="222"/>
      <c r="AH34" s="222"/>
      <c r="AI34" s="222"/>
      <c r="AJ34" s="222"/>
      <c r="AK34" s="222"/>
    </row>
    <row r="35" spans="2:37">
      <c r="B35" s="1946" t="s">
        <v>155</v>
      </c>
      <c r="C35" s="1947"/>
      <c r="D35" s="1948"/>
      <c r="E35" s="531"/>
      <c r="F35" s="1941"/>
      <c r="G35" s="1941"/>
      <c r="H35" s="1941"/>
      <c r="I35" s="1941"/>
      <c r="J35" s="1941"/>
      <c r="K35" s="1941"/>
      <c r="L35" s="381"/>
      <c r="M35" s="382"/>
      <c r="S35" s="10"/>
      <c r="U35" s="223"/>
      <c r="V35" s="222"/>
      <c r="W35" s="222"/>
      <c r="X35" s="222"/>
      <c r="Y35" s="222"/>
      <c r="Z35" s="222"/>
      <c r="AA35" s="222"/>
      <c r="AB35" s="222"/>
      <c r="AC35" s="222"/>
      <c r="AD35" s="222"/>
      <c r="AE35" s="222"/>
      <c r="AF35" s="222"/>
      <c r="AG35" s="222"/>
      <c r="AH35" s="222"/>
      <c r="AI35" s="222"/>
      <c r="AJ35" s="222"/>
      <c r="AK35" s="222"/>
    </row>
    <row r="36" spans="2:37">
      <c r="B36" s="1936" t="s">
        <v>585</v>
      </c>
      <c r="C36" s="1937"/>
      <c r="D36" s="1937"/>
      <c r="E36" s="531"/>
      <c r="F36" s="1941"/>
      <c r="G36" s="1941"/>
      <c r="H36" s="1941"/>
      <c r="I36" s="1941"/>
      <c r="J36" s="1941"/>
      <c r="K36" s="1941"/>
      <c r="L36" s="381"/>
      <c r="M36" s="382"/>
      <c r="S36" s="10"/>
      <c r="U36" s="223"/>
      <c r="V36" s="221"/>
      <c r="W36" s="222"/>
      <c r="X36" s="222"/>
      <c r="Y36" s="222"/>
      <c r="Z36" s="222"/>
      <c r="AA36" s="222"/>
      <c r="AB36" s="222"/>
      <c r="AC36" s="222"/>
      <c r="AD36" s="222"/>
      <c r="AE36" s="222"/>
      <c r="AF36" s="222"/>
      <c r="AG36" s="222"/>
      <c r="AH36" s="222"/>
      <c r="AI36" s="222"/>
      <c r="AJ36" s="222"/>
      <c r="AK36" s="222"/>
    </row>
    <row r="37" spans="2:37">
      <c r="B37" s="1936" t="s">
        <v>376</v>
      </c>
      <c r="C37" s="1937"/>
      <c r="D37" s="1937"/>
      <c r="E37" s="329" t="s">
        <v>40</v>
      </c>
      <c r="F37" s="1941"/>
      <c r="G37" s="1941"/>
      <c r="H37" s="1941"/>
      <c r="I37" s="1941"/>
      <c r="J37" s="1941"/>
      <c r="K37" s="1941"/>
      <c r="L37" s="381"/>
      <c r="M37" s="382"/>
      <c r="S37" s="10"/>
    </row>
    <row r="38" spans="2:37">
      <c r="B38" s="1946" t="s">
        <v>584</v>
      </c>
      <c r="C38" s="1947"/>
      <c r="D38" s="1948"/>
      <c r="E38" s="530"/>
      <c r="F38" s="1941"/>
      <c r="G38" s="1941"/>
      <c r="H38" s="1949"/>
      <c r="I38" s="1949"/>
      <c r="J38" s="1949"/>
      <c r="K38" s="1949"/>
      <c r="L38" s="381"/>
      <c r="M38" s="382"/>
      <c r="S38" s="10"/>
    </row>
    <row r="39" spans="2:37">
      <c r="B39" s="524"/>
      <c r="C39" s="525"/>
      <c r="D39" s="526" t="s">
        <v>380</v>
      </c>
      <c r="E39" s="531"/>
      <c r="F39" s="1941"/>
      <c r="G39" s="1941"/>
      <c r="H39" s="1941"/>
      <c r="I39" s="1941"/>
      <c r="J39" s="1941"/>
      <c r="K39" s="1941"/>
      <c r="L39" s="381"/>
      <c r="M39" s="382"/>
      <c r="S39" s="10"/>
    </row>
    <row r="40" spans="2:37">
      <c r="B40" s="1936" t="s">
        <v>157</v>
      </c>
      <c r="C40" s="1937"/>
      <c r="D40" s="1937"/>
      <c r="E40" s="531"/>
      <c r="F40" s="1941"/>
      <c r="G40" s="1941"/>
      <c r="H40" s="1941"/>
      <c r="I40" s="1941"/>
      <c r="J40" s="1941"/>
      <c r="K40" s="1941"/>
      <c r="L40" s="381"/>
      <c r="M40" s="382"/>
      <c r="S40" s="10"/>
    </row>
    <row r="41" spans="2:37">
      <c r="B41" s="1946" t="s">
        <v>378</v>
      </c>
      <c r="C41" s="1947"/>
      <c r="D41" s="1948"/>
      <c r="E41" s="531"/>
      <c r="F41" s="1941"/>
      <c r="G41" s="1941"/>
      <c r="H41" s="1949"/>
      <c r="I41" s="1949"/>
      <c r="J41" s="1949"/>
      <c r="K41" s="1949"/>
      <c r="L41" s="383"/>
      <c r="M41" s="384"/>
      <c r="S41" s="10"/>
    </row>
    <row r="42" spans="2:37" ht="15" thickBot="1">
      <c r="B42" s="1938" t="s">
        <v>129</v>
      </c>
      <c r="C42" s="1939"/>
      <c r="D42" s="1939"/>
      <c r="E42" s="531"/>
      <c r="F42" s="1940"/>
      <c r="G42" s="1940"/>
      <c r="H42" s="1941"/>
      <c r="I42" s="1941"/>
      <c r="J42" s="1941"/>
      <c r="K42" s="1941"/>
      <c r="L42" s="383"/>
      <c r="M42" s="384"/>
    </row>
    <row r="43" spans="2:37" ht="18" thickBot="1">
      <c r="B43" s="1942" t="s">
        <v>100</v>
      </c>
      <c r="C43" s="1943"/>
      <c r="D43" s="1943"/>
      <c r="E43" s="1943"/>
      <c r="F43" s="1943"/>
      <c r="G43" s="1943"/>
      <c r="H43" s="1943"/>
      <c r="I43" s="1943"/>
      <c r="J43" s="1943"/>
      <c r="K43" s="1943"/>
      <c r="L43" s="1943"/>
      <c r="M43" s="1944"/>
    </row>
    <row r="44" spans="2:37">
      <c r="B44" s="385"/>
      <c r="C44" s="1945"/>
      <c r="D44" s="1945"/>
      <c r="E44" s="1945"/>
      <c r="F44" s="1945"/>
      <c r="G44" s="1945"/>
      <c r="H44" s="1945"/>
      <c r="I44" s="1945"/>
      <c r="J44" s="1945"/>
      <c r="K44" s="1945"/>
      <c r="L44" s="1945"/>
      <c r="M44" s="386"/>
    </row>
    <row r="45" spans="2:37" ht="15" thickBot="1">
      <c r="B45" s="385"/>
      <c r="C45" s="1945"/>
      <c r="D45" s="1945"/>
      <c r="E45" s="1945"/>
      <c r="F45" s="1945"/>
      <c r="G45" s="1945"/>
      <c r="H45" s="1945"/>
      <c r="I45" s="1945"/>
      <c r="J45" s="1945"/>
      <c r="K45" s="1945"/>
      <c r="L45" s="1945"/>
      <c r="M45" s="386"/>
    </row>
    <row r="46" spans="2:37" ht="18" thickBot="1">
      <c r="B46" s="1942" t="s">
        <v>7</v>
      </c>
      <c r="C46" s="1943"/>
      <c r="D46" s="1943"/>
      <c r="E46" s="1943"/>
      <c r="F46" s="1943"/>
      <c r="G46" s="1943"/>
      <c r="H46" s="1943"/>
      <c r="I46" s="1943"/>
      <c r="J46" s="1943"/>
      <c r="K46" s="1943"/>
      <c r="L46" s="1943"/>
      <c r="M46" s="1944"/>
    </row>
    <row r="47" spans="2:37">
      <c r="B47" s="387"/>
      <c r="C47" s="1945"/>
      <c r="D47" s="1945"/>
      <c r="E47" s="1945"/>
      <c r="F47" s="1945"/>
      <c r="G47" s="1945"/>
      <c r="H47" s="1945"/>
      <c r="I47" s="1945"/>
      <c r="J47" s="1945"/>
      <c r="K47" s="1945"/>
      <c r="L47" s="1945"/>
      <c r="M47" s="388"/>
    </row>
    <row r="48" spans="2:37">
      <c r="B48" s="389"/>
      <c r="C48" s="1945"/>
      <c r="D48" s="1945"/>
      <c r="E48" s="1945"/>
      <c r="F48" s="1945"/>
      <c r="G48" s="1945"/>
      <c r="H48" s="1945"/>
      <c r="I48" s="1945"/>
      <c r="J48" s="1945"/>
      <c r="K48" s="1945"/>
      <c r="L48" s="1945"/>
      <c r="M48" s="388"/>
    </row>
    <row r="49" spans="2:13">
      <c r="B49" s="389"/>
      <c r="C49" s="1945"/>
      <c r="D49" s="1945"/>
      <c r="E49" s="1945"/>
      <c r="F49" s="1945"/>
      <c r="G49" s="1945"/>
      <c r="H49" s="1945"/>
      <c r="I49" s="1945"/>
      <c r="J49" s="1945"/>
      <c r="K49" s="1945"/>
      <c r="L49" s="1945"/>
      <c r="M49" s="388"/>
    </row>
    <row r="50" spans="2:13" ht="18" customHeight="1">
      <c r="B50" s="389"/>
      <c r="C50" s="1945"/>
      <c r="D50" s="1945"/>
      <c r="E50" s="1945"/>
      <c r="F50" s="1945"/>
      <c r="G50" s="1945"/>
      <c r="H50" s="1945"/>
      <c r="I50" s="1945"/>
      <c r="J50" s="1945"/>
      <c r="K50" s="1945"/>
      <c r="L50" s="1945"/>
      <c r="M50" s="388"/>
    </row>
    <row r="51" spans="2:13" ht="15" customHeight="1" thickBot="1">
      <c r="B51" s="389"/>
      <c r="C51" s="1945"/>
      <c r="D51" s="1945"/>
      <c r="E51" s="1945"/>
      <c r="F51" s="1945"/>
      <c r="G51" s="1945"/>
      <c r="H51" s="1945"/>
      <c r="I51" s="1945"/>
      <c r="J51" s="1945"/>
      <c r="K51" s="1945"/>
      <c r="L51" s="1945"/>
      <c r="M51" s="388"/>
    </row>
    <row r="52" spans="2:13" ht="18" thickBot="1">
      <c r="B52" s="2123" t="s">
        <v>6</v>
      </c>
      <c r="C52" s="2124"/>
      <c r="D52" s="2124"/>
      <c r="E52" s="2124"/>
      <c r="F52" s="2124"/>
      <c r="G52" s="2124"/>
      <c r="H52" s="2124"/>
      <c r="I52" s="2124"/>
      <c r="J52" s="2124"/>
      <c r="K52" s="2124"/>
      <c r="L52" s="2124"/>
      <c r="M52" s="2125"/>
    </row>
    <row r="53" spans="2:13">
      <c r="B53" s="387"/>
      <c r="C53" s="1945"/>
      <c r="D53" s="1945"/>
      <c r="E53" s="1945"/>
      <c r="F53" s="1945"/>
      <c r="G53" s="2112"/>
      <c r="H53" s="2115" t="s">
        <v>201</v>
      </c>
      <c r="I53" s="2116"/>
      <c r="J53" s="390"/>
      <c r="K53" s="390"/>
      <c r="L53" s="390"/>
      <c r="M53" s="388"/>
    </row>
    <row r="54" spans="2:13">
      <c r="B54" s="389"/>
      <c r="C54" s="1945"/>
      <c r="D54" s="1945"/>
      <c r="E54" s="1945"/>
      <c r="F54" s="1945"/>
      <c r="G54" s="2112"/>
      <c r="H54" s="390"/>
      <c r="I54" s="390"/>
      <c r="J54" s="390"/>
      <c r="K54" s="390"/>
      <c r="L54" s="390"/>
      <c r="M54" s="388"/>
    </row>
    <row r="55" spans="2:13">
      <c r="B55" s="389"/>
      <c r="C55" s="1945"/>
      <c r="D55" s="1945"/>
      <c r="E55" s="1945"/>
      <c r="F55" s="1945"/>
      <c r="G55" s="2112"/>
      <c r="H55" s="390"/>
      <c r="I55" s="390"/>
      <c r="J55" s="390"/>
      <c r="K55" s="390"/>
      <c r="L55" s="390"/>
      <c r="M55" s="388"/>
    </row>
    <row r="56" spans="2:13">
      <c r="B56" s="389"/>
      <c r="C56" s="1945"/>
      <c r="D56" s="1945"/>
      <c r="E56" s="1945"/>
      <c r="F56" s="1945"/>
      <c r="G56" s="2112"/>
      <c r="H56" s="390"/>
      <c r="I56" s="390"/>
      <c r="J56" s="390"/>
      <c r="K56" s="390"/>
      <c r="L56" s="390"/>
      <c r="M56" s="388"/>
    </row>
    <row r="57" spans="2:13">
      <c r="B57" s="389"/>
      <c r="C57" s="1945"/>
      <c r="D57" s="1945"/>
      <c r="E57" s="1945"/>
      <c r="F57" s="1945"/>
      <c r="G57" s="2112"/>
      <c r="H57" s="390"/>
      <c r="I57" s="390"/>
      <c r="J57" s="390"/>
      <c r="K57" s="390"/>
      <c r="L57" s="390"/>
      <c r="M57" s="388"/>
    </row>
    <row r="58" spans="2:13">
      <c r="B58" s="389"/>
      <c r="C58" s="1945"/>
      <c r="D58" s="1945"/>
      <c r="E58" s="1945"/>
      <c r="F58" s="1945"/>
      <c r="G58" s="2112"/>
      <c r="H58" s="390"/>
      <c r="I58" s="390"/>
      <c r="J58" s="390"/>
      <c r="K58" s="390"/>
      <c r="L58" s="390"/>
      <c r="M58" s="388"/>
    </row>
    <row r="59" spans="2:13">
      <c r="B59" s="389"/>
      <c r="C59" s="1945"/>
      <c r="D59" s="1945"/>
      <c r="E59" s="1945"/>
      <c r="F59" s="1945"/>
      <c r="G59" s="2112"/>
      <c r="H59" s="390"/>
      <c r="I59" s="390"/>
      <c r="J59" s="390"/>
      <c r="K59" s="390"/>
      <c r="L59" s="390"/>
      <c r="M59" s="388"/>
    </row>
    <row r="60" spans="2:13">
      <c r="B60" s="389"/>
      <c r="C60" s="1945"/>
      <c r="D60" s="1945"/>
      <c r="E60" s="1945"/>
      <c r="F60" s="1945"/>
      <c r="G60" s="2112"/>
      <c r="H60" s="390"/>
      <c r="I60" s="390"/>
      <c r="J60" s="390"/>
      <c r="K60" s="390"/>
      <c r="L60" s="390"/>
      <c r="M60" s="388"/>
    </row>
    <row r="61" spans="2:13">
      <c r="B61" s="389"/>
      <c r="C61" s="1945"/>
      <c r="D61" s="1945"/>
      <c r="E61" s="1945"/>
      <c r="F61" s="1945"/>
      <c r="G61" s="2112"/>
      <c r="H61" s="390"/>
      <c r="I61" s="390"/>
      <c r="J61" s="390"/>
      <c r="K61" s="390"/>
      <c r="L61" s="390"/>
      <c r="M61" s="388"/>
    </row>
    <row r="62" spans="2:13" ht="15" thickBot="1">
      <c r="B62" s="391"/>
      <c r="C62" s="2113"/>
      <c r="D62" s="2113"/>
      <c r="E62" s="2113"/>
      <c r="F62" s="2113"/>
      <c r="G62" s="2114"/>
      <c r="H62" s="392"/>
      <c r="I62" s="392"/>
      <c r="J62" s="392"/>
      <c r="K62" s="392"/>
      <c r="L62" s="392"/>
      <c r="M62" s="393"/>
    </row>
    <row r="63" spans="2:13" ht="18.600000000000001">
      <c r="B63" s="520"/>
      <c r="C63" s="521"/>
      <c r="D63" s="521"/>
      <c r="E63" s="521"/>
      <c r="F63" s="522"/>
      <c r="G63" s="523"/>
      <c r="H63" s="522"/>
      <c r="I63" s="7"/>
      <c r="J63" s="213"/>
      <c r="K63" s="213"/>
      <c r="L63" s="213"/>
      <c r="M63" s="213"/>
    </row>
    <row r="64" spans="2:13" ht="18.75" customHeight="1">
      <c r="B64" s="536"/>
      <c r="C64" s="536"/>
      <c r="D64" s="536"/>
      <c r="E64" s="536"/>
      <c r="F64" s="535"/>
      <c r="G64" s="523"/>
      <c r="H64" s="522"/>
      <c r="I64" s="7"/>
      <c r="J64" s="213"/>
      <c r="K64" s="213"/>
      <c r="L64" s="213"/>
      <c r="M64" s="213"/>
    </row>
    <row r="65" spans="2:37" ht="18.600000000000001">
      <c r="B65" s="536"/>
      <c r="C65" s="536"/>
      <c r="D65" s="536"/>
      <c r="E65" s="536"/>
      <c r="F65" s="535"/>
      <c r="G65" s="523"/>
      <c r="H65" s="522"/>
      <c r="I65" s="7"/>
      <c r="J65" s="213"/>
      <c r="K65" s="213"/>
      <c r="L65" s="213"/>
      <c r="M65" s="213"/>
    </row>
    <row r="66" spans="2:37" ht="18.600000000000001">
      <c r="B66" s="536"/>
      <c r="C66" s="536"/>
      <c r="D66" s="536"/>
      <c r="E66" s="536"/>
      <c r="F66" s="522"/>
      <c r="G66" s="523"/>
      <c r="H66" s="522"/>
      <c r="I66" s="7"/>
      <c r="J66" s="213"/>
      <c r="K66" s="213"/>
      <c r="L66" s="213"/>
      <c r="M66" s="213"/>
    </row>
    <row r="67" spans="2:37" ht="18">
      <c r="B67" s="1935" t="s">
        <v>628</v>
      </c>
      <c r="C67" s="1935"/>
      <c r="D67" s="1935"/>
      <c r="E67" s="1935"/>
      <c r="F67" s="1935"/>
      <c r="G67" s="1935"/>
      <c r="H67" s="1935"/>
      <c r="I67" s="1935"/>
      <c r="J67" s="1935"/>
      <c r="K67" s="1935"/>
      <c r="L67" s="1935"/>
      <c r="M67" s="1935"/>
    </row>
    <row r="68" spans="2:37" ht="18">
      <c r="B68" s="543" t="s">
        <v>623</v>
      </c>
      <c r="C68" s="1921" t="s">
        <v>622</v>
      </c>
      <c r="D68" s="1921"/>
      <c r="E68" s="1921"/>
      <c r="F68" s="1921"/>
      <c r="G68" s="1921"/>
      <c r="H68" s="1921"/>
      <c r="I68" s="1921"/>
      <c r="J68" s="1921"/>
      <c r="K68" s="1921"/>
      <c r="L68" s="1921"/>
      <c r="M68" s="1922"/>
    </row>
    <row r="69" spans="2:37" ht="18">
      <c r="B69" s="544" t="s">
        <v>40</v>
      </c>
      <c r="C69" s="1919" t="s">
        <v>625</v>
      </c>
      <c r="D69" s="1920"/>
      <c r="E69" s="1920"/>
      <c r="F69" s="1920"/>
      <c r="G69" s="1920"/>
      <c r="H69" s="1920"/>
      <c r="I69" s="1920"/>
      <c r="J69" s="1920"/>
      <c r="K69" s="1920"/>
      <c r="L69" s="1920"/>
      <c r="M69" s="1920"/>
    </row>
    <row r="70" spans="2:37" ht="18" customHeight="1">
      <c r="B70" s="544" t="s">
        <v>40</v>
      </c>
      <c r="C70" s="1919" t="s">
        <v>624</v>
      </c>
      <c r="D70" s="1920"/>
      <c r="E70" s="1920"/>
      <c r="F70" s="1920"/>
      <c r="G70" s="1920"/>
      <c r="H70" s="1920"/>
      <c r="I70" s="1920"/>
      <c r="J70" s="1920"/>
      <c r="K70" s="1920"/>
      <c r="L70" s="1920"/>
      <c r="M70" s="1920"/>
    </row>
    <row r="71" spans="2:37" ht="39.75" customHeight="1">
      <c r="B71" s="544" t="s">
        <v>40</v>
      </c>
      <c r="C71" s="1931" t="e">
        <f>IF(OR(type=usees,type =surface), "", "• Attestation de qualification du foreur - RGE Qualiforage (valide au moment de la réalisation; les attestations provisoires ou en cours d'instruction sont acceptées, uniquement pour les BE fluides) ")</f>
        <v>#REF!</v>
      </c>
      <c r="D71" s="1932"/>
      <c r="E71" s="1932"/>
      <c r="F71" s="1932"/>
      <c r="G71" s="1932"/>
      <c r="H71" s="1932"/>
      <c r="I71" s="1932"/>
      <c r="J71" s="1932"/>
      <c r="K71" s="1932"/>
      <c r="L71" s="1932"/>
      <c r="M71" s="1932"/>
    </row>
    <row r="72" spans="2:37" ht="42.75" customHeight="1">
      <c r="B72" s="544" t="s">
        <v>41</v>
      </c>
      <c r="C72" s="1931" t="e">
        <f>IF(OR(type=usees,type =surface), "", "• Attestation de qualification du BE sous-sol - OPQIBI(valide au moment de la réalisation; les attestations provisoires ou en cours d'instruction sont acceptées, uniquement pour les BE fluides) ")</f>
        <v>#REF!</v>
      </c>
      <c r="D72" s="1932"/>
      <c r="E72" s="1932"/>
      <c r="F72" s="1932"/>
      <c r="G72" s="1932"/>
      <c r="H72" s="1932"/>
      <c r="I72" s="1932"/>
      <c r="J72" s="1932"/>
      <c r="K72" s="1932"/>
      <c r="L72" s="1932"/>
      <c r="M72" s="1932"/>
    </row>
    <row r="73" spans="2:37" ht="19.5" customHeight="1">
      <c r="B73" s="544"/>
      <c r="C73" s="1933" t="s">
        <v>598</v>
      </c>
      <c r="D73" s="1934"/>
      <c r="E73" s="1934"/>
      <c r="F73" s="1934"/>
      <c r="G73" s="1934"/>
      <c r="H73" s="1934"/>
      <c r="I73" s="1934"/>
      <c r="J73" s="1934"/>
      <c r="K73" s="1934"/>
      <c r="L73" s="1934"/>
      <c r="M73" s="1934"/>
    </row>
    <row r="74" spans="2:37" ht="65.25" customHeight="1">
      <c r="B74" s="544"/>
      <c r="C74" s="545"/>
      <c r="D74" s="1923" t="s">
        <v>626</v>
      </c>
      <c r="E74" s="1923"/>
      <c r="F74" s="1923"/>
      <c r="G74" s="1923"/>
      <c r="H74" s="1923"/>
      <c r="I74" s="1923"/>
      <c r="J74" s="1923"/>
      <c r="K74" s="1923"/>
      <c r="L74" s="1923"/>
      <c r="M74" s="1924"/>
      <c r="S74" s="10"/>
      <c r="U74" s="1"/>
      <c r="V74" s="216"/>
    </row>
    <row r="75" spans="2:37">
      <c r="B75" s="544"/>
      <c r="C75" s="546"/>
      <c r="D75" s="1925" t="s">
        <v>597</v>
      </c>
      <c r="E75" s="1925"/>
      <c r="F75" s="1925"/>
      <c r="G75" s="1925"/>
      <c r="H75" s="1925"/>
      <c r="I75" s="1925"/>
      <c r="J75" s="1925"/>
      <c r="K75" s="1925"/>
      <c r="L75" s="1925"/>
      <c r="M75" s="1926"/>
      <c r="S75" s="10"/>
      <c r="U75" s="1"/>
      <c r="V75" s="216"/>
    </row>
    <row r="76" spans="2:37" ht="30.75" customHeight="1">
      <c r="B76" s="544"/>
      <c r="C76" s="546"/>
      <c r="D76" s="1927" t="e">
        <f>IF(type=sondes,"PAC sur sondes : normes NFX 10-960-1, 10 960-2, 10 960-3, 10 960-4, NFX 10-970 relatives à la mise en place des sondes géothermiques verticales","")</f>
        <v>#REF!</v>
      </c>
      <c r="E76" s="1927"/>
      <c r="F76" s="1927"/>
      <c r="G76" s="1927"/>
      <c r="H76" s="1927"/>
      <c r="I76" s="1927"/>
      <c r="J76" s="1927"/>
      <c r="K76" s="1927"/>
      <c r="L76" s="1927"/>
      <c r="M76" s="1928"/>
      <c r="S76" s="10"/>
      <c r="U76" s="1"/>
      <c r="V76" s="216"/>
    </row>
    <row r="77" spans="2:37">
      <c r="B77" s="544"/>
      <c r="C77" s="546"/>
      <c r="D77" s="1925" t="e">
        <f>IF(type=nappe,"PAC sur nappe : Respect des normes de forage d’eau (NFX 10-999).","")</f>
        <v>#REF!</v>
      </c>
      <c r="E77" s="1925"/>
      <c r="F77" s="1925"/>
      <c r="G77" s="1925"/>
      <c r="H77" s="1925"/>
      <c r="I77" s="1925"/>
      <c r="J77" s="1925"/>
      <c r="K77" s="1925"/>
      <c r="L77" s="1925"/>
      <c r="M77" s="1926"/>
      <c r="S77" s="10"/>
      <c r="U77" s="1"/>
      <c r="V77" s="216"/>
    </row>
    <row r="78" spans="2:37" ht="45.75" customHeight="1">
      <c r="B78" s="544"/>
      <c r="C78" s="547"/>
      <c r="D78" s="1929" t="s">
        <v>627</v>
      </c>
      <c r="E78" s="1929"/>
      <c r="F78" s="1929"/>
      <c r="G78" s="1929"/>
      <c r="H78" s="1929"/>
      <c r="I78" s="1929"/>
      <c r="J78" s="1929"/>
      <c r="K78" s="1929"/>
      <c r="L78" s="1929"/>
      <c r="M78" s="1930"/>
      <c r="S78" s="10"/>
      <c r="U78" s="1"/>
      <c r="V78" s="216"/>
    </row>
    <row r="79" spans="2:37" s="1" customFormat="1">
      <c r="N79" s="10"/>
      <c r="O79" s="10"/>
      <c r="P79" s="10"/>
      <c r="Q79" s="10"/>
      <c r="R79" s="10"/>
      <c r="U79" s="219"/>
    </row>
    <row r="80" spans="2:37" ht="15" hidden="1" customHeight="1">
      <c r="B80" s="228"/>
      <c r="C80" s="1908"/>
      <c r="D80" s="1908"/>
      <c r="E80" s="1908"/>
      <c r="F80" s="1908"/>
      <c r="G80" s="1908"/>
      <c r="H80" s="1908"/>
      <c r="I80" s="1908"/>
      <c r="J80" s="1908"/>
      <c r="K80" s="1908"/>
      <c r="L80" s="1908"/>
      <c r="M80" s="227"/>
      <c r="U80" s="223"/>
      <c r="V80" s="221"/>
      <c r="W80" s="222"/>
      <c r="X80" s="222"/>
      <c r="Y80" s="222"/>
      <c r="Z80" s="222"/>
      <c r="AA80" s="222"/>
      <c r="AB80" s="222"/>
      <c r="AC80" s="222"/>
      <c r="AD80" s="222"/>
      <c r="AE80" s="222"/>
      <c r="AF80" s="222"/>
      <c r="AG80" s="222"/>
      <c r="AH80" s="222"/>
      <c r="AI80" s="222"/>
      <c r="AJ80" s="222"/>
      <c r="AK80" s="222"/>
    </row>
    <row r="81" spans="2:37" ht="15" hidden="1" customHeight="1">
      <c r="B81" s="229"/>
      <c r="C81" s="1908"/>
      <c r="D81" s="1908"/>
      <c r="E81" s="1908"/>
      <c r="F81" s="1908"/>
      <c r="G81" s="1908"/>
      <c r="H81" s="1908"/>
      <c r="I81" s="1908"/>
      <c r="J81" s="1908"/>
      <c r="K81" s="1908"/>
      <c r="L81" s="1908"/>
      <c r="M81" s="227"/>
      <c r="U81" s="223"/>
      <c r="V81" s="224"/>
      <c r="W81" s="222"/>
      <c r="X81" s="222"/>
      <c r="Y81" s="222"/>
      <c r="Z81" s="222"/>
      <c r="AA81" s="222"/>
      <c r="AB81" s="222"/>
      <c r="AC81" s="222"/>
      <c r="AD81" s="221" t="s">
        <v>386</v>
      </c>
      <c r="AE81" s="222"/>
      <c r="AF81" s="222"/>
      <c r="AG81" s="222"/>
      <c r="AH81" s="222"/>
      <c r="AI81" s="222"/>
      <c r="AJ81" s="222"/>
      <c r="AK81" s="222"/>
    </row>
    <row r="82" spans="2:37" ht="15" hidden="1" customHeight="1">
      <c r="B82" s="229"/>
      <c r="C82" s="1908"/>
      <c r="D82" s="1908"/>
      <c r="E82" s="1908"/>
      <c r="F82" s="1908"/>
      <c r="G82" s="1908"/>
      <c r="H82" s="1908"/>
      <c r="I82" s="1908"/>
      <c r="J82" s="1908"/>
      <c r="K82" s="1908"/>
      <c r="L82" s="1908"/>
      <c r="M82" s="227"/>
      <c r="U82" s="223"/>
      <c r="V82" s="224"/>
      <c r="W82" s="222"/>
      <c r="X82" s="222"/>
      <c r="Y82" s="222"/>
      <c r="Z82" s="222"/>
      <c r="AA82" s="222"/>
      <c r="AB82" s="222"/>
      <c r="AC82" s="222"/>
      <c r="AD82" s="224" t="s">
        <v>387</v>
      </c>
      <c r="AE82" s="222"/>
      <c r="AF82" s="222"/>
      <c r="AG82" s="222"/>
      <c r="AH82" s="222"/>
      <c r="AI82" s="222"/>
      <c r="AJ82" s="222"/>
      <c r="AK82" s="222"/>
    </row>
    <row r="83" spans="2:37" ht="15" hidden="1" customHeight="1">
      <c r="B83" s="229"/>
      <c r="C83" s="1908"/>
      <c r="D83" s="1908"/>
      <c r="E83" s="1908"/>
      <c r="F83" s="1908"/>
      <c r="G83" s="1908"/>
      <c r="H83" s="1908"/>
      <c r="I83" s="1908"/>
      <c r="J83" s="1908"/>
      <c r="K83" s="1908"/>
      <c r="L83" s="1908"/>
      <c r="M83" s="227"/>
      <c r="U83" s="223"/>
      <c r="V83" s="221"/>
      <c r="W83" s="222"/>
      <c r="X83" s="222"/>
      <c r="Y83" s="222"/>
      <c r="Z83" s="222"/>
      <c r="AA83" s="222"/>
      <c r="AB83" s="222"/>
      <c r="AC83" s="222"/>
    </row>
    <row r="84" spans="2:37">
      <c r="B84" s="2068" t="s">
        <v>388</v>
      </c>
      <c r="C84" s="2069"/>
      <c r="D84" s="2069"/>
      <c r="E84" s="2069"/>
      <c r="F84" s="2069"/>
      <c r="G84" s="2069"/>
      <c r="H84" s="2069"/>
      <c r="I84" s="2069"/>
      <c r="J84" s="2069"/>
      <c r="K84" s="2069"/>
      <c r="L84" s="2069"/>
      <c r="M84" s="2070"/>
      <c r="N84" s="10" t="s">
        <v>385</v>
      </c>
      <c r="U84" s="223"/>
      <c r="V84" s="224"/>
      <c r="W84" s="222"/>
      <c r="X84" s="222"/>
      <c r="Y84" s="222"/>
      <c r="Z84" s="222"/>
      <c r="AA84" s="222"/>
      <c r="AB84" s="222"/>
      <c r="AC84" s="222"/>
    </row>
    <row r="85" spans="2:37">
      <c r="B85" s="226"/>
      <c r="C85" s="2071" t="s">
        <v>389</v>
      </c>
      <c r="D85" s="2072"/>
      <c r="E85" s="2072"/>
      <c r="F85" s="2072"/>
      <c r="G85" s="2073"/>
      <c r="H85" s="2071" t="s">
        <v>390</v>
      </c>
      <c r="I85" s="2072"/>
      <c r="J85" s="2073"/>
      <c r="K85" s="2071" t="s">
        <v>391</v>
      </c>
      <c r="L85" s="2073"/>
      <c r="M85" s="227"/>
      <c r="N85" s="10" t="s">
        <v>392</v>
      </c>
      <c r="U85" s="223"/>
      <c r="V85" s="221"/>
      <c r="W85" s="222"/>
      <c r="X85" s="222"/>
      <c r="Y85" s="222"/>
      <c r="Z85" s="222"/>
      <c r="AA85" s="222"/>
      <c r="AB85" s="222"/>
      <c r="AC85" s="222"/>
    </row>
    <row r="86" spans="2:37">
      <c r="B86" s="226"/>
      <c r="C86" s="2064"/>
      <c r="D86" s="2065"/>
      <c r="E86" s="2065"/>
      <c r="F86" s="2065"/>
      <c r="G86" s="2066"/>
      <c r="H86" s="2064"/>
      <c r="I86" s="2065"/>
      <c r="J86" s="2066"/>
      <c r="K86" s="2064"/>
      <c r="L86" s="2066"/>
      <c r="M86" s="227"/>
      <c r="U86" s="223"/>
      <c r="V86" s="224"/>
      <c r="W86" s="222"/>
      <c r="X86" s="222"/>
      <c r="Y86" s="222"/>
      <c r="Z86" s="222"/>
      <c r="AA86" s="222"/>
      <c r="AB86" s="222"/>
      <c r="AC86" s="222"/>
    </row>
    <row r="87" spans="2:37">
      <c r="B87" s="226"/>
      <c r="C87" s="2064"/>
      <c r="D87" s="2065"/>
      <c r="E87" s="2065"/>
      <c r="F87" s="2065"/>
      <c r="G87" s="2066"/>
      <c r="H87" s="2064"/>
      <c r="I87" s="2065"/>
      <c r="J87" s="2066"/>
      <c r="K87" s="2064"/>
      <c r="L87" s="2066"/>
      <c r="M87" s="227"/>
      <c r="O87" s="10" t="s">
        <v>393</v>
      </c>
      <c r="U87" s="223"/>
      <c r="V87" s="222"/>
      <c r="W87" s="222"/>
      <c r="X87" s="222"/>
      <c r="Y87" s="222"/>
      <c r="Z87" s="222"/>
      <c r="AA87" s="222"/>
      <c r="AB87" s="222"/>
      <c r="AC87" s="222"/>
    </row>
    <row r="88" spans="2:37" ht="15" customHeight="1">
      <c r="B88" s="229"/>
      <c r="C88" s="2064"/>
      <c r="D88" s="2065"/>
      <c r="E88" s="2065"/>
      <c r="F88" s="2065"/>
      <c r="G88" s="2066"/>
      <c r="H88" s="2064"/>
      <c r="I88" s="2065"/>
      <c r="J88" s="2066"/>
      <c r="K88" s="2064"/>
      <c r="L88" s="2066"/>
      <c r="M88" s="227"/>
      <c r="O88" s="2063" t="s">
        <v>394</v>
      </c>
      <c r="T88" s="189"/>
      <c r="U88" s="223"/>
      <c r="V88" s="221"/>
      <c r="W88" s="222"/>
      <c r="X88" s="222"/>
      <c r="Y88" s="222"/>
      <c r="Z88" s="222"/>
      <c r="AA88" s="222"/>
      <c r="AB88" s="222"/>
      <c r="AC88" s="222"/>
    </row>
    <row r="89" spans="2:37" ht="14.25" customHeight="1">
      <c r="B89" s="229"/>
      <c r="C89" s="2064"/>
      <c r="D89" s="2065"/>
      <c r="E89" s="2065"/>
      <c r="F89" s="2065"/>
      <c r="G89" s="2066"/>
      <c r="H89" s="2064"/>
      <c r="I89" s="2065"/>
      <c r="J89" s="2066"/>
      <c r="K89" s="2064"/>
      <c r="L89" s="2066"/>
      <c r="M89" s="227"/>
      <c r="O89" s="2063"/>
      <c r="U89" s="223"/>
      <c r="V89" s="224"/>
      <c r="W89" s="222"/>
      <c r="X89" s="222"/>
      <c r="Y89" s="222"/>
      <c r="Z89" s="222"/>
      <c r="AA89" s="222"/>
      <c r="AB89" s="222"/>
      <c r="AC89" s="222"/>
    </row>
    <row r="90" spans="2:37">
      <c r="B90" s="229"/>
      <c r="C90" s="2064"/>
      <c r="D90" s="2065"/>
      <c r="E90" s="2065"/>
      <c r="F90" s="2065"/>
      <c r="G90" s="2066"/>
      <c r="H90" s="2064"/>
      <c r="I90" s="2065"/>
      <c r="J90" s="2066"/>
      <c r="K90" s="2064"/>
      <c r="L90" s="2066"/>
      <c r="M90" s="227"/>
      <c r="O90" s="2063"/>
      <c r="U90" s="223"/>
      <c r="V90" s="222"/>
      <c r="W90" s="222"/>
      <c r="X90" s="222"/>
      <c r="Y90" s="222"/>
      <c r="Z90" s="222"/>
      <c r="AA90" s="222"/>
      <c r="AB90" s="222"/>
      <c r="AC90" s="222"/>
    </row>
    <row r="91" spans="2:37">
      <c r="B91" s="2058" t="s">
        <v>6</v>
      </c>
      <c r="C91" s="2059"/>
      <c r="D91" s="2059"/>
      <c r="E91" s="2059"/>
      <c r="F91" s="2059"/>
      <c r="G91" s="2059"/>
      <c r="H91" s="2059"/>
      <c r="I91" s="2059"/>
      <c r="J91" s="2059"/>
      <c r="K91" s="2059"/>
      <c r="L91" s="2059"/>
      <c r="M91" s="2060"/>
      <c r="O91" s="2063"/>
      <c r="U91" s="223"/>
      <c r="V91" s="221"/>
      <c r="W91" s="222"/>
      <c r="X91" s="222"/>
      <c r="Y91" s="222"/>
      <c r="Z91" s="222"/>
      <c r="AA91" s="222"/>
      <c r="AB91" s="222"/>
      <c r="AC91" s="222"/>
    </row>
    <row r="92" spans="2:37">
      <c r="B92" s="226"/>
      <c r="C92" s="1908"/>
      <c r="D92" s="1908"/>
      <c r="E92" s="1908"/>
      <c r="F92" s="1908"/>
      <c r="G92" s="1908"/>
      <c r="H92" s="1908"/>
      <c r="I92" s="1908"/>
      <c r="J92" s="1908"/>
      <c r="K92" s="1908"/>
      <c r="L92" s="1908"/>
      <c r="M92" s="227"/>
      <c r="O92" s="2063"/>
      <c r="U92" s="223"/>
      <c r="V92" s="224"/>
      <c r="W92" s="222"/>
      <c r="X92" s="222"/>
      <c r="Y92" s="222"/>
      <c r="Z92" s="222"/>
      <c r="AA92" s="222"/>
      <c r="AB92" s="222"/>
      <c r="AC92" s="222"/>
    </row>
    <row r="93" spans="2:37">
      <c r="B93" s="226"/>
      <c r="C93" s="1908"/>
      <c r="D93" s="1908"/>
      <c r="E93" s="1908"/>
      <c r="F93" s="1908"/>
      <c r="G93" s="1908"/>
      <c r="H93" s="1908"/>
      <c r="I93" s="1908"/>
      <c r="J93" s="1908"/>
      <c r="K93" s="1908"/>
      <c r="L93" s="1908"/>
      <c r="M93" s="227"/>
      <c r="O93" s="2063"/>
      <c r="U93" s="223"/>
      <c r="V93" s="224"/>
      <c r="W93" s="222"/>
      <c r="X93" s="222"/>
      <c r="Y93" s="222"/>
      <c r="Z93" s="222"/>
      <c r="AA93" s="222"/>
      <c r="AB93" s="222"/>
      <c r="AC93" s="222"/>
    </row>
    <row r="94" spans="2:37" ht="15" hidden="1" customHeight="1">
      <c r="B94" s="226"/>
      <c r="C94" s="1908"/>
      <c r="D94" s="1908"/>
      <c r="E94" s="1908"/>
      <c r="F94" s="1908"/>
      <c r="G94" s="1908"/>
      <c r="H94" s="1908"/>
      <c r="I94" s="1908"/>
      <c r="J94" s="1908"/>
      <c r="K94" s="1908"/>
      <c r="L94" s="1908"/>
      <c r="M94" s="227"/>
      <c r="O94" s="2063"/>
      <c r="U94" s="223"/>
      <c r="V94" s="222"/>
      <c r="W94" s="222"/>
      <c r="X94" s="222"/>
      <c r="Y94" s="222"/>
      <c r="Z94" s="222"/>
      <c r="AA94" s="222"/>
      <c r="AB94" s="222"/>
      <c r="AC94" s="222"/>
    </row>
    <row r="95" spans="2:37" ht="15" hidden="1" customHeight="1">
      <c r="B95" s="226"/>
      <c r="C95" s="1908"/>
      <c r="D95" s="1908"/>
      <c r="E95" s="1908"/>
      <c r="F95" s="1908"/>
      <c r="G95" s="1908"/>
      <c r="H95" s="1908"/>
      <c r="I95" s="1908"/>
      <c r="J95" s="1908"/>
      <c r="K95" s="1908"/>
      <c r="L95" s="1908"/>
      <c r="M95" s="227"/>
      <c r="O95" s="2063"/>
      <c r="U95" s="223"/>
      <c r="V95" s="222"/>
      <c r="W95" s="222"/>
      <c r="X95" s="222"/>
      <c r="Y95" s="222"/>
      <c r="Z95" s="222"/>
      <c r="AA95" s="222"/>
      <c r="AB95" s="222"/>
      <c r="AC95" s="222"/>
    </row>
    <row r="96" spans="2:37" ht="15.75" hidden="1" customHeight="1">
      <c r="B96" s="229"/>
      <c r="C96" s="1908"/>
      <c r="D96" s="1908"/>
      <c r="E96" s="1908"/>
      <c r="F96" s="1908"/>
      <c r="G96" s="1908"/>
      <c r="H96" s="1908"/>
      <c r="I96" s="1908"/>
      <c r="J96" s="1908"/>
      <c r="K96" s="1908"/>
      <c r="L96" s="1908"/>
      <c r="M96" s="227"/>
      <c r="O96" s="2063"/>
      <c r="U96" s="223"/>
      <c r="V96" s="222"/>
      <c r="W96" s="222"/>
      <c r="X96" s="222"/>
      <c r="Y96" s="222"/>
      <c r="Z96" s="222"/>
      <c r="AA96" s="222"/>
      <c r="AB96" s="222"/>
      <c r="AC96" s="222"/>
    </row>
    <row r="97" spans="1:29" ht="15.75" hidden="1" customHeight="1">
      <c r="B97" s="229"/>
      <c r="C97" s="1908"/>
      <c r="D97" s="1908"/>
      <c r="E97" s="1908"/>
      <c r="F97" s="1908"/>
      <c r="G97" s="1908"/>
      <c r="H97" s="1908"/>
      <c r="I97" s="1908"/>
      <c r="J97" s="1908"/>
      <c r="K97" s="1908"/>
      <c r="L97" s="1908"/>
      <c r="M97" s="227"/>
      <c r="O97" s="2063"/>
      <c r="U97" s="223"/>
      <c r="V97" s="222"/>
      <c r="W97" s="222"/>
      <c r="X97" s="222"/>
      <c r="Y97" s="222"/>
      <c r="Z97" s="222"/>
      <c r="AA97" s="222"/>
      <c r="AB97" s="222"/>
      <c r="AC97" s="222"/>
    </row>
    <row r="98" spans="1:29" ht="15.75" hidden="1" customHeight="1">
      <c r="B98" s="229"/>
      <c r="C98" s="1908"/>
      <c r="D98" s="1908"/>
      <c r="E98" s="1908"/>
      <c r="F98" s="1908"/>
      <c r="G98" s="1908"/>
      <c r="H98" s="1908"/>
      <c r="I98" s="1908"/>
      <c r="J98" s="1908"/>
      <c r="K98" s="1908"/>
      <c r="L98" s="1908"/>
      <c r="M98" s="227"/>
      <c r="O98" s="2063"/>
      <c r="U98" s="223"/>
      <c r="V98" s="222"/>
      <c r="W98" s="222"/>
      <c r="X98" s="222"/>
      <c r="Y98" s="222"/>
      <c r="Z98" s="222"/>
      <c r="AA98" s="222"/>
      <c r="AB98" s="222"/>
      <c r="AC98" s="222"/>
    </row>
    <row r="99" spans="1:29" ht="15" thickBot="1">
      <c r="B99" s="230"/>
      <c r="C99" s="2067"/>
      <c r="D99" s="2067"/>
      <c r="E99" s="2067"/>
      <c r="F99" s="2067"/>
      <c r="G99" s="2067"/>
      <c r="H99" s="2067"/>
      <c r="I99" s="2067"/>
      <c r="J99" s="2067"/>
      <c r="K99" s="2067"/>
      <c r="L99" s="2067"/>
      <c r="M99" s="231"/>
      <c r="O99" s="2063"/>
      <c r="U99" s="223"/>
      <c r="V99" s="222"/>
      <c r="W99" s="222"/>
      <c r="X99" s="222"/>
      <c r="Y99" s="222"/>
      <c r="Z99" s="222"/>
      <c r="AA99" s="222"/>
      <c r="AB99" s="222"/>
      <c r="AC99" s="222"/>
    </row>
    <row r="100" spans="1:29">
      <c r="A100" s="4"/>
      <c r="B100" s="4"/>
      <c r="C100" s="4"/>
      <c r="D100" s="4"/>
      <c r="E100" s="4"/>
      <c r="F100" s="4"/>
      <c r="G100" s="4"/>
      <c r="H100" s="4"/>
      <c r="I100" s="4"/>
      <c r="J100" s="4"/>
      <c r="K100" s="4"/>
      <c r="L100" s="4"/>
      <c r="M100" s="15"/>
      <c r="U100" s="223"/>
      <c r="V100" s="221"/>
      <c r="W100" s="222"/>
      <c r="X100" s="222"/>
      <c r="Y100" s="222"/>
      <c r="Z100" s="222"/>
      <c r="AA100" s="222"/>
      <c r="AB100" s="222"/>
      <c r="AC100" s="222"/>
    </row>
    <row r="101" spans="1:29">
      <c r="A101" s="4"/>
      <c r="B101" s="4"/>
      <c r="C101" s="4"/>
      <c r="D101" s="4"/>
      <c r="E101" s="4"/>
      <c r="F101" s="4"/>
      <c r="G101" s="4"/>
      <c r="H101" s="4"/>
      <c r="I101" s="4"/>
      <c r="J101" s="4"/>
      <c r="K101" s="4"/>
      <c r="L101" s="4"/>
      <c r="M101" s="15"/>
      <c r="U101" s="223"/>
      <c r="V101" s="224"/>
      <c r="W101" s="222"/>
      <c r="X101" s="222"/>
      <c r="Y101" s="222"/>
      <c r="Z101" s="222"/>
      <c r="AA101" s="222"/>
      <c r="AB101" s="222"/>
      <c r="AC101" s="222"/>
    </row>
    <row r="102" spans="1:29" ht="18">
      <c r="B102" s="1935" t="s">
        <v>630</v>
      </c>
      <c r="C102" s="1935"/>
      <c r="D102" s="1935"/>
      <c r="E102" s="1935"/>
      <c r="F102" s="1935"/>
      <c r="G102" s="1935"/>
      <c r="H102" s="1935"/>
      <c r="I102" s="1935"/>
      <c r="J102" s="1935"/>
      <c r="K102" s="1935"/>
      <c r="L102" s="1935"/>
      <c r="M102" s="1935"/>
      <c r="U102" s="223"/>
      <c r="V102" s="222"/>
      <c r="W102" s="222"/>
      <c r="X102" s="222"/>
      <c r="Y102" s="222"/>
      <c r="Z102" s="222"/>
      <c r="AA102" s="222"/>
      <c r="AB102" s="222"/>
      <c r="AC102" s="222"/>
    </row>
    <row r="103" spans="1:29">
      <c r="B103" s="2058" t="s">
        <v>395</v>
      </c>
      <c r="C103" s="2059"/>
      <c r="D103" s="2059"/>
      <c r="E103" s="2059"/>
      <c r="F103" s="2059"/>
      <c r="G103" s="2059"/>
      <c r="H103" s="2059"/>
      <c r="I103" s="2059"/>
      <c r="J103" s="2059"/>
      <c r="K103" s="2059"/>
      <c r="L103" s="2059"/>
      <c r="M103" s="2060"/>
      <c r="U103" s="2061" t="s">
        <v>396</v>
      </c>
      <c r="V103" s="2062"/>
      <c r="W103" s="2062"/>
      <c r="X103" s="2062"/>
      <c r="Y103" s="2062"/>
      <c r="Z103" s="2062"/>
      <c r="AA103" s="2062"/>
      <c r="AB103" s="2062"/>
      <c r="AC103" s="2062"/>
    </row>
    <row r="104" spans="1:29">
      <c r="B104" s="2041" t="s">
        <v>397</v>
      </c>
      <c r="C104" s="2042"/>
      <c r="D104" s="2042"/>
      <c r="E104" s="2042"/>
      <c r="F104" s="2042"/>
      <c r="G104" s="2043"/>
      <c r="H104" s="232">
        <v>325</v>
      </c>
      <c r="I104" s="27"/>
      <c r="J104" s="75"/>
      <c r="K104" s="75"/>
      <c r="L104" s="75"/>
      <c r="M104" s="233"/>
      <c r="U104" s="2061"/>
      <c r="V104" s="2062"/>
      <c r="W104" s="2062"/>
      <c r="X104" s="2062"/>
      <c r="Y104" s="2062"/>
      <c r="Z104" s="2062"/>
      <c r="AA104" s="2062"/>
      <c r="AB104" s="2062"/>
      <c r="AC104" s="2062"/>
    </row>
    <row r="105" spans="1:29" ht="17.399999999999999">
      <c r="B105" s="2041" t="s">
        <v>398</v>
      </c>
      <c r="C105" s="2042"/>
      <c r="D105" s="2042"/>
      <c r="E105" s="2042"/>
      <c r="F105" s="2042"/>
      <c r="G105" s="2043"/>
      <c r="H105" s="234">
        <f>COUNTA(G116:S116)</f>
        <v>0</v>
      </c>
      <c r="I105" s="75"/>
      <c r="J105" s="75"/>
      <c r="K105" s="75"/>
      <c r="L105" s="75"/>
      <c r="M105" s="233"/>
      <c r="U105" s="235">
        <v>1</v>
      </c>
      <c r="V105" s="236" t="s">
        <v>399</v>
      </c>
      <c r="W105" s="237"/>
      <c r="X105" s="237"/>
      <c r="Y105" s="237"/>
      <c r="Z105" s="237"/>
      <c r="AA105" s="237"/>
      <c r="AB105" s="237"/>
      <c r="AC105" s="238"/>
    </row>
    <row r="106" spans="1:29" ht="17.399999999999999">
      <c r="B106" s="2038" t="s">
        <v>46</v>
      </c>
      <c r="C106" s="2039"/>
      <c r="D106" s="2039"/>
      <c r="E106" s="2039"/>
      <c r="F106" s="2039"/>
      <c r="G106" s="2040"/>
      <c r="H106" s="239">
        <v>1</v>
      </c>
      <c r="I106" s="239">
        <v>2</v>
      </c>
      <c r="J106" s="239">
        <v>3</v>
      </c>
      <c r="K106" s="240">
        <v>4</v>
      </c>
      <c r="L106" s="241">
        <v>5</v>
      </c>
      <c r="M106" s="242">
        <v>6</v>
      </c>
      <c r="U106" s="243" t="s">
        <v>400</v>
      </c>
      <c r="V106" s="236" t="s">
        <v>401</v>
      </c>
      <c r="W106" s="237"/>
      <c r="X106" s="237"/>
      <c r="Y106" s="237"/>
      <c r="Z106" s="237"/>
      <c r="AA106" s="237"/>
      <c r="AB106" s="237"/>
      <c r="AC106" s="238"/>
    </row>
    <row r="107" spans="1:29">
      <c r="B107" s="2041" t="s">
        <v>402</v>
      </c>
      <c r="C107" s="2042"/>
      <c r="D107" s="2042"/>
      <c r="E107" s="2042"/>
      <c r="F107" s="2042"/>
      <c r="G107" s="2043"/>
      <c r="H107" s="244" t="s">
        <v>99</v>
      </c>
      <c r="I107" s="244"/>
      <c r="J107" s="245"/>
      <c r="K107" s="244"/>
      <c r="L107" s="246"/>
      <c r="M107" s="247"/>
    </row>
    <row r="108" spans="1:29">
      <c r="B108" s="2041" t="s">
        <v>403</v>
      </c>
      <c r="C108" s="2042"/>
      <c r="D108" s="2042"/>
      <c r="E108" s="2042"/>
      <c r="F108" s="2042"/>
      <c r="G108" s="2043"/>
      <c r="H108" s="232">
        <v>176</v>
      </c>
      <c r="I108" s="232"/>
      <c r="J108" s="248"/>
      <c r="K108" s="232"/>
      <c r="L108" s="249"/>
      <c r="M108" s="250"/>
    </row>
    <row r="109" spans="1:29">
      <c r="B109" s="2044" t="s">
        <v>50</v>
      </c>
      <c r="C109" s="2045"/>
      <c r="D109" s="2045"/>
      <c r="E109" s="2045"/>
      <c r="F109" s="2045"/>
      <c r="G109" s="2045"/>
      <c r="H109" s="2045"/>
      <c r="I109" s="2045"/>
      <c r="J109" s="2045"/>
      <c r="K109" s="2045"/>
      <c r="L109" s="2045"/>
      <c r="M109" s="2046"/>
    </row>
    <row r="110" spans="1:29">
      <c r="B110" s="2047"/>
      <c r="C110" s="2048"/>
      <c r="D110" s="2048"/>
      <c r="E110" s="2048"/>
      <c r="F110" s="2048"/>
      <c r="G110" s="2048"/>
      <c r="H110" s="2048"/>
      <c r="I110" s="2048"/>
      <c r="J110" s="2048"/>
      <c r="K110" s="2048"/>
      <c r="L110" s="2048"/>
      <c r="M110" s="2049"/>
    </row>
    <row r="111" spans="1:29">
      <c r="B111" s="2047"/>
      <c r="C111" s="2048"/>
      <c r="D111" s="2048"/>
      <c r="E111" s="2048"/>
      <c r="F111" s="2048"/>
      <c r="G111" s="2048"/>
      <c r="H111" s="2048"/>
      <c r="I111" s="2048"/>
      <c r="J111" s="2048"/>
      <c r="K111" s="2048"/>
      <c r="L111" s="2048"/>
      <c r="M111" s="2049"/>
    </row>
    <row r="112" spans="1:29" hidden="1">
      <c r="B112" s="2047"/>
      <c r="C112" s="2048"/>
      <c r="D112" s="2048"/>
      <c r="E112" s="2048"/>
      <c r="F112" s="2048"/>
      <c r="G112" s="2048"/>
      <c r="H112" s="2048"/>
      <c r="I112" s="2048"/>
      <c r="J112" s="2048"/>
      <c r="K112" s="2048"/>
      <c r="L112" s="2048"/>
      <c r="M112" s="2049"/>
    </row>
    <row r="113" spans="2:13" hidden="1">
      <c r="B113" s="2047"/>
      <c r="C113" s="2048"/>
      <c r="D113" s="2048"/>
      <c r="E113" s="2048"/>
      <c r="F113" s="2048"/>
      <c r="G113" s="2048"/>
      <c r="H113" s="2048"/>
      <c r="I113" s="2048"/>
      <c r="J113" s="2048"/>
      <c r="K113" s="2048"/>
      <c r="L113" s="2048"/>
      <c r="M113" s="2049"/>
    </row>
    <row r="114" spans="2:13" ht="15" hidden="1" thickBot="1">
      <c r="B114" s="2050"/>
      <c r="C114" s="2051"/>
      <c r="D114" s="2051"/>
      <c r="E114" s="2051"/>
      <c r="F114" s="2051"/>
      <c r="G114" s="2051"/>
      <c r="H114" s="2051"/>
      <c r="I114" s="2051"/>
      <c r="J114" s="2051"/>
      <c r="K114" s="2051"/>
      <c r="L114" s="2051"/>
      <c r="M114" s="2052"/>
    </row>
    <row r="115" spans="2:13">
      <c r="B115" s="2044" t="s">
        <v>404</v>
      </c>
      <c r="C115" s="2045"/>
      <c r="D115" s="2045"/>
      <c r="E115" s="2045"/>
      <c r="F115" s="2045"/>
      <c r="G115" s="2045"/>
      <c r="H115" s="2045"/>
      <c r="I115" s="2045"/>
      <c r="J115" s="2045"/>
      <c r="K115" s="2045"/>
      <c r="L115" s="2045"/>
      <c r="M115" s="2046"/>
    </row>
    <row r="116" spans="2:13">
      <c r="B116" s="2047"/>
      <c r="C116" s="2048"/>
      <c r="D116" s="2048"/>
      <c r="E116" s="2048"/>
      <c r="F116" s="2048"/>
      <c r="G116" s="2048"/>
      <c r="H116" s="2048"/>
      <c r="I116" s="2048"/>
      <c r="J116" s="2048"/>
      <c r="K116" s="2048"/>
      <c r="L116" s="2048"/>
      <c r="M116" s="2049"/>
    </row>
    <row r="117" spans="2:13">
      <c r="B117" s="2047"/>
      <c r="C117" s="2048"/>
      <c r="D117" s="2048"/>
      <c r="E117" s="2048"/>
      <c r="F117" s="2048"/>
      <c r="G117" s="2048"/>
      <c r="H117" s="2048"/>
      <c r="I117" s="2048"/>
      <c r="J117" s="2048"/>
      <c r="K117" s="2048"/>
      <c r="L117" s="2048"/>
      <c r="M117" s="2049"/>
    </row>
    <row r="118" spans="2:13" hidden="1">
      <c r="B118" s="2047"/>
      <c r="C118" s="2048"/>
      <c r="D118" s="2048"/>
      <c r="E118" s="2048"/>
      <c r="F118" s="2048"/>
      <c r="G118" s="2048"/>
      <c r="H118" s="2048"/>
      <c r="I118" s="2048"/>
      <c r="J118" s="2048"/>
      <c r="K118" s="2048"/>
      <c r="L118" s="2048"/>
      <c r="M118" s="2049"/>
    </row>
    <row r="119" spans="2:13" ht="15.75" hidden="1" customHeight="1">
      <c r="B119" s="2047"/>
      <c r="C119" s="2048"/>
      <c r="D119" s="2048"/>
      <c r="E119" s="2048"/>
      <c r="F119" s="2048"/>
      <c r="G119" s="2048"/>
      <c r="H119" s="2048"/>
      <c r="I119" s="2048"/>
      <c r="J119" s="2048"/>
      <c r="K119" s="2048"/>
      <c r="L119" s="2048"/>
      <c r="M119" s="2049"/>
    </row>
    <row r="120" spans="2:13" ht="15" hidden="1" customHeight="1" thickBot="1">
      <c r="B120" s="2050"/>
      <c r="C120" s="2051"/>
      <c r="D120" s="2051"/>
      <c r="E120" s="2051"/>
      <c r="F120" s="2051"/>
      <c r="G120" s="2051"/>
      <c r="H120" s="2051"/>
      <c r="I120" s="2051"/>
      <c r="J120" s="2051"/>
      <c r="K120" s="2051"/>
      <c r="L120" s="2051"/>
      <c r="M120" s="2052"/>
    </row>
    <row r="121" spans="2:13" ht="15.75" customHeight="1">
      <c r="B121" s="2044" t="s">
        <v>405</v>
      </c>
      <c r="C121" s="2045"/>
      <c r="D121" s="2045"/>
      <c r="E121" s="2045"/>
      <c r="F121" s="2045"/>
      <c r="G121" s="2045"/>
      <c r="H121" s="2045"/>
      <c r="I121" s="2045"/>
      <c r="J121" s="2045"/>
      <c r="K121" s="2045"/>
      <c r="L121" s="2045"/>
      <c r="M121" s="2046"/>
    </row>
    <row r="122" spans="2:13" ht="15" customHeight="1">
      <c r="B122" s="2047"/>
      <c r="C122" s="2048"/>
      <c r="D122" s="2048"/>
      <c r="E122" s="2048"/>
      <c r="F122" s="2048"/>
      <c r="G122" s="2048"/>
      <c r="H122" s="2048"/>
      <c r="I122" s="2048"/>
      <c r="J122" s="2048"/>
      <c r="K122" s="2048"/>
      <c r="L122" s="2048"/>
      <c r="M122" s="2049"/>
    </row>
    <row r="123" spans="2:13">
      <c r="B123" s="2047"/>
      <c r="C123" s="2048"/>
      <c r="D123" s="2048"/>
      <c r="E123" s="2048"/>
      <c r="F123" s="2048"/>
      <c r="G123" s="2048"/>
      <c r="H123" s="2048"/>
      <c r="I123" s="2048"/>
      <c r="J123" s="2048"/>
      <c r="K123" s="2048"/>
      <c r="L123" s="2048"/>
      <c r="M123" s="2049"/>
    </row>
    <row r="124" spans="2:13" ht="15.75" hidden="1" customHeight="1">
      <c r="B124" s="2047"/>
      <c r="C124" s="2048"/>
      <c r="D124" s="2048"/>
      <c r="E124" s="2048"/>
      <c r="F124" s="2048"/>
      <c r="G124" s="2048"/>
      <c r="H124" s="2048"/>
      <c r="I124" s="2048"/>
      <c r="J124" s="2048"/>
      <c r="K124" s="2048"/>
      <c r="L124" s="2048"/>
      <c r="M124" s="2049"/>
    </row>
    <row r="125" spans="2:13" ht="15.75" hidden="1" customHeight="1">
      <c r="B125" s="2047"/>
      <c r="C125" s="2048"/>
      <c r="D125" s="2048"/>
      <c r="E125" s="2048"/>
      <c r="F125" s="2048"/>
      <c r="G125" s="2048"/>
      <c r="H125" s="2048"/>
      <c r="I125" s="2048"/>
      <c r="J125" s="2048"/>
      <c r="K125" s="2048"/>
      <c r="L125" s="2048"/>
      <c r="M125" s="2049"/>
    </row>
    <row r="126" spans="2:13" ht="15.75" hidden="1" customHeight="1" thickBot="1">
      <c r="B126" s="2050"/>
      <c r="C126" s="2051"/>
      <c r="D126" s="2051"/>
      <c r="E126" s="2051"/>
      <c r="F126" s="2051"/>
      <c r="G126" s="2051"/>
      <c r="H126" s="2051"/>
      <c r="I126" s="2051"/>
      <c r="J126" s="2051"/>
      <c r="K126" s="2051"/>
      <c r="L126" s="2051"/>
      <c r="M126" s="2052"/>
    </row>
    <row r="127" spans="2:13" ht="15.75" customHeight="1">
      <c r="B127" s="2044" t="s">
        <v>406</v>
      </c>
      <c r="C127" s="2045"/>
      <c r="D127" s="2045"/>
      <c r="E127" s="2045"/>
      <c r="F127" s="2045"/>
      <c r="G127" s="2045"/>
      <c r="H127" s="2045"/>
      <c r="I127" s="2045"/>
      <c r="J127" s="2045"/>
      <c r="K127" s="2045"/>
      <c r="L127" s="2045"/>
      <c r="M127" s="2046"/>
    </row>
    <row r="128" spans="2:13">
      <c r="B128" s="2047"/>
      <c r="C128" s="2048"/>
      <c r="D128" s="2048"/>
      <c r="E128" s="2048"/>
      <c r="F128" s="2048"/>
      <c r="G128" s="2048"/>
      <c r="H128" s="2048"/>
      <c r="I128" s="2048"/>
      <c r="J128" s="2048"/>
      <c r="K128" s="2048"/>
      <c r="L128" s="2048"/>
      <c r="M128" s="2049"/>
    </row>
    <row r="129" spans="2:29">
      <c r="B129" s="2047"/>
      <c r="C129" s="2048"/>
      <c r="D129" s="2048"/>
      <c r="E129" s="2048"/>
      <c r="F129" s="2048"/>
      <c r="G129" s="2048"/>
      <c r="H129" s="2048"/>
      <c r="I129" s="2048"/>
      <c r="J129" s="2048"/>
      <c r="K129" s="2048"/>
      <c r="L129" s="2048"/>
      <c r="M129" s="2049"/>
    </row>
    <row r="130" spans="2:29" hidden="1">
      <c r="B130" s="2047"/>
      <c r="C130" s="2048"/>
      <c r="D130" s="2048"/>
      <c r="E130" s="2048"/>
      <c r="F130" s="2048"/>
      <c r="G130" s="2048"/>
      <c r="H130" s="2048"/>
      <c r="I130" s="2048"/>
      <c r="J130" s="2048"/>
      <c r="K130" s="2048"/>
      <c r="L130" s="2048"/>
      <c r="M130" s="2049"/>
    </row>
    <row r="131" spans="2:29" hidden="1">
      <c r="B131" s="2047"/>
      <c r="C131" s="2048"/>
      <c r="D131" s="2048"/>
      <c r="E131" s="2048"/>
      <c r="F131" s="2048"/>
      <c r="G131" s="2048"/>
      <c r="H131" s="2048"/>
      <c r="I131" s="2048"/>
      <c r="J131" s="2048"/>
      <c r="K131" s="2048"/>
      <c r="L131" s="2048"/>
      <c r="M131" s="2049"/>
    </row>
    <row r="132" spans="2:29" ht="15" hidden="1" thickBot="1">
      <c r="B132" s="2050"/>
      <c r="C132" s="2051"/>
      <c r="D132" s="2051"/>
      <c r="E132" s="2051"/>
      <c r="F132" s="2051"/>
      <c r="G132" s="2051"/>
      <c r="H132" s="2051"/>
      <c r="I132" s="2051"/>
      <c r="J132" s="2051"/>
      <c r="K132" s="2051"/>
      <c r="L132" s="2051"/>
      <c r="M132" s="2052"/>
    </row>
    <row r="133" spans="2:29">
      <c r="B133" s="2044" t="s">
        <v>407</v>
      </c>
      <c r="C133" s="2045"/>
      <c r="D133" s="2045"/>
      <c r="E133" s="2045"/>
      <c r="F133" s="2045"/>
      <c r="G133" s="2045"/>
      <c r="H133" s="2045"/>
      <c r="I133" s="2045"/>
      <c r="J133" s="2045"/>
      <c r="K133" s="2045"/>
      <c r="L133" s="2045"/>
      <c r="M133" s="2046"/>
      <c r="Y133" s="251" t="s">
        <v>408</v>
      </c>
      <c r="AB133" s="251" t="s">
        <v>409</v>
      </c>
    </row>
    <row r="134" spans="2:29">
      <c r="B134" s="2047"/>
      <c r="C134" s="2048"/>
      <c r="D134" s="2048"/>
      <c r="E134" s="2048"/>
      <c r="F134" s="2048"/>
      <c r="G134" s="2048"/>
      <c r="H134" s="2048"/>
      <c r="I134" s="2048"/>
      <c r="J134" s="2048"/>
      <c r="K134" s="2048"/>
      <c r="L134" s="2048"/>
      <c r="M134" s="2049"/>
    </row>
    <row r="135" spans="2:29">
      <c r="B135" s="2047"/>
      <c r="C135" s="2048"/>
      <c r="D135" s="2048"/>
      <c r="E135" s="2048"/>
      <c r="F135" s="2048"/>
      <c r="G135" s="2048"/>
      <c r="H135" s="2048"/>
      <c r="I135" s="2048"/>
      <c r="J135" s="2048"/>
      <c r="K135" s="2048"/>
      <c r="L135" s="2048"/>
      <c r="M135" s="2049"/>
      <c r="U135" s="252" t="s">
        <v>410</v>
      </c>
    </row>
    <row r="136" spans="2:29" hidden="1">
      <c r="B136" s="2047"/>
      <c r="C136" s="2048"/>
      <c r="D136" s="2048"/>
      <c r="E136" s="2048"/>
      <c r="F136" s="2048"/>
      <c r="G136" s="2048"/>
      <c r="H136" s="2048"/>
      <c r="I136" s="2048"/>
      <c r="J136" s="2048"/>
      <c r="K136" s="2048"/>
      <c r="L136" s="2048"/>
      <c r="M136" s="2049"/>
    </row>
    <row r="137" spans="2:29" hidden="1">
      <c r="B137" s="2047"/>
      <c r="C137" s="2048"/>
      <c r="D137" s="2048"/>
      <c r="E137" s="2048"/>
      <c r="F137" s="2048"/>
      <c r="G137" s="2048"/>
      <c r="H137" s="2048"/>
      <c r="I137" s="2048"/>
      <c r="J137" s="2048"/>
      <c r="K137" s="2048"/>
      <c r="L137" s="2048"/>
      <c r="M137" s="2049"/>
    </row>
    <row r="138" spans="2:29" ht="15" hidden="1" thickBot="1">
      <c r="B138" s="2050"/>
      <c r="C138" s="2051"/>
      <c r="D138" s="2051"/>
      <c r="E138" s="2051"/>
      <c r="F138" s="2051"/>
      <c r="G138" s="2051"/>
      <c r="H138" s="2051"/>
      <c r="I138" s="2051"/>
      <c r="J138" s="2051"/>
      <c r="K138" s="2051"/>
      <c r="L138" s="2051"/>
      <c r="M138" s="2052"/>
    </row>
    <row r="139" spans="2:29">
      <c r="B139" s="2044" t="s">
        <v>411</v>
      </c>
      <c r="C139" s="2045"/>
      <c r="D139" s="2045"/>
      <c r="E139" s="2045"/>
      <c r="F139" s="2045"/>
      <c r="G139" s="2045"/>
      <c r="H139" s="2045"/>
      <c r="I139" s="2045"/>
      <c r="J139" s="2045"/>
      <c r="K139" s="2045"/>
      <c r="L139" s="2045"/>
      <c r="M139" s="2046"/>
    </row>
    <row r="140" spans="2:29">
      <c r="B140" s="2047"/>
      <c r="C140" s="2048"/>
      <c r="D140" s="2048"/>
      <c r="E140" s="2048"/>
      <c r="F140" s="2048"/>
      <c r="G140" s="2048"/>
      <c r="H140" s="2048"/>
      <c r="I140" s="2048"/>
      <c r="J140" s="2048"/>
      <c r="K140" s="2048"/>
      <c r="L140" s="2048"/>
      <c r="M140" s="2049"/>
    </row>
    <row r="141" spans="2:29" ht="17.399999999999999">
      <c r="B141" s="2047"/>
      <c r="C141" s="2048"/>
      <c r="D141" s="2048"/>
      <c r="E141" s="2048"/>
      <c r="F141" s="2048"/>
      <c r="G141" s="2048"/>
      <c r="H141" s="2048"/>
      <c r="I141" s="2048"/>
      <c r="J141" s="2048"/>
      <c r="K141" s="2048"/>
      <c r="L141" s="2048"/>
      <c r="M141" s="2049"/>
      <c r="U141" s="243" t="s">
        <v>412</v>
      </c>
      <c r="V141" s="236" t="s">
        <v>413</v>
      </c>
      <c r="W141" s="237"/>
      <c r="X141" s="237"/>
      <c r="Y141" s="237"/>
      <c r="Z141" s="237"/>
      <c r="AA141" s="237"/>
      <c r="AB141" s="237"/>
      <c r="AC141" s="238"/>
    </row>
    <row r="142" spans="2:29" hidden="1">
      <c r="B142" s="2047"/>
      <c r="C142" s="2048"/>
      <c r="D142" s="2048"/>
      <c r="E142" s="2048"/>
      <c r="F142" s="2048"/>
      <c r="G142" s="2048"/>
      <c r="H142" s="2048"/>
      <c r="I142" s="2048"/>
      <c r="J142" s="2048"/>
      <c r="K142" s="2048"/>
      <c r="L142" s="2048"/>
      <c r="M142" s="2049"/>
    </row>
    <row r="143" spans="2:29" hidden="1">
      <c r="B143" s="2047"/>
      <c r="C143" s="2048"/>
      <c r="D143" s="2048"/>
      <c r="E143" s="2048"/>
      <c r="F143" s="2048"/>
      <c r="G143" s="2048"/>
      <c r="H143" s="2048"/>
      <c r="I143" s="2048"/>
      <c r="J143" s="2048"/>
      <c r="K143" s="2048"/>
      <c r="L143" s="2048"/>
      <c r="M143" s="2049"/>
    </row>
    <row r="144" spans="2:29" ht="15" hidden="1" thickBot="1">
      <c r="B144" s="2050"/>
      <c r="C144" s="2051"/>
      <c r="D144" s="2051"/>
      <c r="E144" s="2051"/>
      <c r="F144" s="2051"/>
      <c r="G144" s="2051"/>
      <c r="H144" s="2051"/>
      <c r="I144" s="2051"/>
      <c r="J144" s="2051"/>
      <c r="K144" s="2051"/>
      <c r="L144" s="2051"/>
      <c r="M144" s="2052"/>
    </row>
    <row r="145" spans="2:28">
      <c r="B145" s="2044" t="s">
        <v>414</v>
      </c>
      <c r="C145" s="2045"/>
      <c r="D145" s="2045"/>
      <c r="E145" s="2045"/>
      <c r="F145" s="2045"/>
      <c r="G145" s="2045"/>
      <c r="H145" s="2045"/>
      <c r="I145" s="2045"/>
      <c r="J145" s="2045"/>
      <c r="K145" s="2045"/>
      <c r="L145" s="2045"/>
      <c r="M145" s="2046"/>
    </row>
    <row r="146" spans="2:28">
      <c r="B146" s="2047"/>
      <c r="C146" s="2048"/>
      <c r="D146" s="2048"/>
      <c r="E146" s="2048"/>
      <c r="F146" s="2048"/>
      <c r="G146" s="2048"/>
      <c r="H146" s="2048"/>
      <c r="I146" s="2048"/>
      <c r="J146" s="2048"/>
      <c r="K146" s="2048"/>
      <c r="L146" s="2048"/>
      <c r="M146" s="2049"/>
    </row>
    <row r="147" spans="2:28">
      <c r="B147" s="2047"/>
      <c r="C147" s="2048"/>
      <c r="D147" s="2048"/>
      <c r="E147" s="2048"/>
      <c r="F147" s="2048"/>
      <c r="G147" s="2048"/>
      <c r="H147" s="2048"/>
      <c r="I147" s="2048"/>
      <c r="J147" s="2048"/>
      <c r="K147" s="2048"/>
      <c r="L147" s="2048"/>
      <c r="M147" s="2049"/>
    </row>
    <row r="148" spans="2:28" hidden="1">
      <c r="B148" s="2047"/>
      <c r="C148" s="2048"/>
      <c r="D148" s="2048"/>
      <c r="E148" s="2048"/>
      <c r="F148" s="2048"/>
      <c r="G148" s="2048"/>
      <c r="H148" s="2048"/>
      <c r="I148" s="2048"/>
      <c r="J148" s="2048"/>
      <c r="K148" s="2048"/>
      <c r="L148" s="2048"/>
      <c r="M148" s="2049"/>
    </row>
    <row r="149" spans="2:28" hidden="1">
      <c r="B149" s="2047"/>
      <c r="C149" s="2048"/>
      <c r="D149" s="2048"/>
      <c r="E149" s="2048"/>
      <c r="F149" s="2048"/>
      <c r="G149" s="2048"/>
      <c r="H149" s="2048"/>
      <c r="I149" s="2048"/>
      <c r="J149" s="2048"/>
      <c r="K149" s="2048"/>
      <c r="L149" s="2048"/>
      <c r="M149" s="2049"/>
    </row>
    <row r="150" spans="2:28" ht="15.75" hidden="1" customHeight="1" thickBot="1">
      <c r="B150" s="2050"/>
      <c r="C150" s="2051"/>
      <c r="D150" s="2051"/>
      <c r="E150" s="2051"/>
      <c r="F150" s="2051"/>
      <c r="G150" s="2051"/>
      <c r="H150" s="2051"/>
      <c r="I150" s="2051"/>
      <c r="J150" s="2051"/>
      <c r="K150" s="2051"/>
      <c r="L150" s="2051"/>
      <c r="M150" s="2052"/>
    </row>
    <row r="151" spans="2:28">
      <c r="B151" s="2044" t="s">
        <v>415</v>
      </c>
      <c r="C151" s="2045"/>
      <c r="D151" s="2045"/>
      <c r="E151" s="2045"/>
      <c r="F151" s="2045"/>
      <c r="G151" s="2045"/>
      <c r="H151" s="2045"/>
      <c r="I151" s="2045"/>
      <c r="J151" s="2045"/>
      <c r="K151" s="2045"/>
      <c r="L151" s="2045"/>
      <c r="M151" s="2046"/>
    </row>
    <row r="152" spans="2:28">
      <c r="B152" s="2047"/>
      <c r="C152" s="2048"/>
      <c r="D152" s="2048"/>
      <c r="E152" s="2048"/>
      <c r="F152" s="2048"/>
      <c r="G152" s="2048"/>
      <c r="H152" s="2048"/>
      <c r="I152" s="2048"/>
      <c r="J152" s="2048"/>
      <c r="K152" s="2048"/>
      <c r="L152" s="2048"/>
      <c r="M152" s="2049"/>
      <c r="N152"/>
    </row>
    <row r="153" spans="2:28">
      <c r="B153" s="2047"/>
      <c r="C153" s="2048"/>
      <c r="D153" s="2048"/>
      <c r="E153" s="2048"/>
      <c r="F153" s="2048"/>
      <c r="G153" s="2048"/>
      <c r="H153" s="2048"/>
      <c r="I153" s="2048"/>
      <c r="J153" s="2048"/>
      <c r="K153" s="2048"/>
      <c r="L153" s="2048"/>
      <c r="M153" s="2049"/>
    </row>
    <row r="154" spans="2:28" hidden="1">
      <c r="B154" s="2047"/>
      <c r="C154" s="2048"/>
      <c r="D154" s="2048"/>
      <c r="E154" s="2048"/>
      <c r="F154" s="2048"/>
      <c r="G154" s="2048"/>
      <c r="H154" s="2048"/>
      <c r="I154" s="2048"/>
      <c r="J154" s="2048"/>
      <c r="K154" s="2048"/>
      <c r="L154" s="2048"/>
      <c r="M154" s="2049"/>
    </row>
    <row r="155" spans="2:28" hidden="1">
      <c r="B155" s="2047"/>
      <c r="C155" s="2048"/>
      <c r="D155" s="2048"/>
      <c r="E155" s="2048"/>
      <c r="F155" s="2048"/>
      <c r="G155" s="2048"/>
      <c r="H155" s="2048"/>
      <c r="I155" s="2048"/>
      <c r="J155" s="2048"/>
      <c r="K155" s="2048"/>
      <c r="L155" s="2048"/>
      <c r="M155" s="2049"/>
      <c r="Q155" s="253"/>
      <c r="R155" s="254"/>
      <c r="S155" s="255"/>
      <c r="T155" s="7"/>
      <c r="U155" s="256"/>
      <c r="V155" s="1"/>
      <c r="W155" s="1"/>
      <c r="X155" s="1"/>
      <c r="Y155" s="1"/>
      <c r="Z155" s="1"/>
      <c r="AA155" s="1"/>
      <c r="AB155" s="220"/>
    </row>
    <row r="156" spans="2:28" ht="15" hidden="1" thickBot="1">
      <c r="B156" s="2050"/>
      <c r="C156" s="2051"/>
      <c r="D156" s="2051"/>
      <c r="E156" s="2051"/>
      <c r="F156" s="2051"/>
      <c r="G156" s="2051"/>
      <c r="H156" s="2051"/>
      <c r="I156" s="2051"/>
      <c r="J156" s="2051"/>
      <c r="K156" s="2051"/>
      <c r="L156" s="2051"/>
      <c r="M156" s="2052"/>
      <c r="Q156" s="253"/>
      <c r="R156" s="254"/>
      <c r="S156" s="255"/>
      <c r="T156" s="7"/>
      <c r="U156" s="256"/>
      <c r="V156" s="1"/>
      <c r="W156" s="1"/>
      <c r="X156" s="1"/>
      <c r="Y156" s="1"/>
      <c r="Z156" s="1"/>
      <c r="AA156" s="1"/>
      <c r="AB156" s="220"/>
    </row>
    <row r="157" spans="2:28">
      <c r="B157" s="2044" t="s">
        <v>414</v>
      </c>
      <c r="C157" s="2045"/>
      <c r="D157" s="2045"/>
      <c r="E157" s="2045"/>
      <c r="F157" s="2045"/>
      <c r="G157" s="2045"/>
      <c r="H157" s="2045"/>
      <c r="I157" s="2045"/>
      <c r="J157" s="2045"/>
      <c r="K157" s="2045"/>
      <c r="L157" s="2045"/>
      <c r="M157" s="2046"/>
      <c r="Q157" s="253"/>
      <c r="R157" s="254"/>
      <c r="S157" s="255"/>
      <c r="T157" s="7"/>
      <c r="U157" s="256"/>
      <c r="V157" s="1"/>
      <c r="W157" s="1"/>
      <c r="X157" s="1"/>
      <c r="Y157" s="1"/>
      <c r="Z157" s="1"/>
      <c r="AA157" s="1"/>
      <c r="AB157" s="220"/>
    </row>
    <row r="158" spans="2:28">
      <c r="B158" s="2047"/>
      <c r="C158" s="2048"/>
      <c r="D158" s="2048"/>
      <c r="E158" s="2048"/>
      <c r="F158" s="2048"/>
      <c r="G158" s="2048"/>
      <c r="H158" s="2048"/>
      <c r="I158" s="2048"/>
      <c r="J158" s="2048"/>
      <c r="K158" s="2048"/>
      <c r="L158" s="2048"/>
      <c r="M158" s="2049"/>
      <c r="Q158" s="1"/>
      <c r="R158" s="1"/>
    </row>
    <row r="159" spans="2:28">
      <c r="B159" s="2047"/>
      <c r="C159" s="2048"/>
      <c r="D159" s="2048"/>
      <c r="E159" s="2048"/>
      <c r="F159" s="2048"/>
      <c r="G159" s="2048"/>
      <c r="H159" s="2048"/>
      <c r="I159" s="2048"/>
      <c r="J159" s="2048"/>
      <c r="K159" s="2048"/>
      <c r="L159" s="2048"/>
      <c r="M159" s="2049"/>
      <c r="Q159" s="1"/>
      <c r="R159" s="1"/>
    </row>
    <row r="160" spans="2:28" hidden="1">
      <c r="B160" s="2047"/>
      <c r="C160" s="2048"/>
      <c r="D160" s="2048"/>
      <c r="E160" s="2048"/>
      <c r="F160" s="2048"/>
      <c r="G160" s="2048"/>
      <c r="H160" s="2048"/>
      <c r="I160" s="2048"/>
      <c r="J160" s="2048"/>
      <c r="K160" s="2048"/>
      <c r="L160" s="2048"/>
      <c r="M160" s="2049"/>
      <c r="Q160" s="1"/>
      <c r="R160" s="1"/>
    </row>
    <row r="161" spans="1:28" hidden="1">
      <c r="B161" s="2047"/>
      <c r="C161" s="2048"/>
      <c r="D161" s="2048"/>
      <c r="E161" s="2048"/>
      <c r="F161" s="2048"/>
      <c r="G161" s="2048"/>
      <c r="H161" s="2048"/>
      <c r="I161" s="2048"/>
      <c r="J161" s="2048"/>
      <c r="K161" s="2048"/>
      <c r="L161" s="2048"/>
      <c r="M161" s="2049"/>
      <c r="Q161" s="1"/>
      <c r="R161" s="1"/>
    </row>
    <row r="162" spans="1:28" ht="15" thickBot="1">
      <c r="B162" s="2050"/>
      <c r="C162" s="2051"/>
      <c r="D162" s="2051"/>
      <c r="E162" s="2051"/>
      <c r="F162" s="2051"/>
      <c r="G162" s="2051"/>
      <c r="H162" s="2051"/>
      <c r="I162" s="2051"/>
      <c r="J162" s="2051"/>
      <c r="K162" s="2051"/>
      <c r="L162" s="2051"/>
      <c r="M162" s="2052"/>
      <c r="Q162" s="1"/>
      <c r="R162" s="1"/>
    </row>
    <row r="163" spans="1:28">
      <c r="A163" s="4"/>
      <c r="B163" s="4"/>
      <c r="C163" s="4"/>
      <c r="D163" s="4"/>
      <c r="E163" s="4"/>
      <c r="F163" s="4"/>
      <c r="G163" s="4"/>
      <c r="H163" s="4"/>
      <c r="I163" s="4"/>
      <c r="J163" s="4"/>
      <c r="K163" s="4"/>
      <c r="L163" s="4"/>
      <c r="M163" s="15"/>
      <c r="Q163" s="1"/>
      <c r="R163" s="1"/>
    </row>
    <row r="164" spans="1:28" ht="15" customHeight="1">
      <c r="A164" s="4"/>
      <c r="B164" s="4"/>
      <c r="C164" s="4"/>
      <c r="D164" s="4"/>
      <c r="E164" s="4"/>
      <c r="F164" s="4"/>
      <c r="G164" s="4"/>
      <c r="H164" s="4"/>
      <c r="I164" s="4"/>
      <c r="J164" s="4"/>
      <c r="K164" s="4"/>
      <c r="L164" s="4"/>
      <c r="M164" s="15"/>
    </row>
    <row r="165" spans="1:28">
      <c r="A165" s="4"/>
      <c r="B165" s="4"/>
      <c r="C165" s="4"/>
      <c r="D165" s="4"/>
      <c r="E165" s="4"/>
      <c r="F165" s="4"/>
      <c r="G165" s="4"/>
      <c r="H165" s="4"/>
      <c r="I165" s="4"/>
      <c r="J165" s="4"/>
      <c r="K165" s="4"/>
      <c r="L165" s="4"/>
      <c r="M165" s="15"/>
    </row>
    <row r="166" spans="1:28" ht="15" thickBot="1">
      <c r="A166" s="19"/>
      <c r="B166" s="19"/>
      <c r="C166" s="19"/>
      <c r="D166" s="19"/>
      <c r="E166" s="19"/>
      <c r="F166" s="19"/>
      <c r="G166" s="19"/>
      <c r="H166" s="19"/>
      <c r="I166" s="19"/>
      <c r="J166" s="19"/>
      <c r="K166" s="19"/>
      <c r="L166" s="19"/>
      <c r="M166" s="19"/>
    </row>
    <row r="167" spans="1:28">
      <c r="B167" s="2055" t="s">
        <v>417</v>
      </c>
      <c r="C167" s="2056"/>
      <c r="D167" s="2056"/>
      <c r="E167" s="2056"/>
      <c r="F167" s="2056"/>
      <c r="G167" s="2056"/>
      <c r="H167" s="2056"/>
      <c r="I167" s="2056"/>
      <c r="J167" s="2056"/>
      <c r="K167" s="2056"/>
      <c r="L167" s="2056"/>
      <c r="M167" s="2057"/>
    </row>
    <row r="168" spans="1:28">
      <c r="B168" s="2058" t="s">
        <v>418</v>
      </c>
      <c r="C168" s="2059"/>
      <c r="D168" s="2059"/>
      <c r="E168" s="2059"/>
      <c r="F168" s="2059"/>
      <c r="G168" s="2059"/>
      <c r="H168" s="2059"/>
      <c r="I168" s="2059"/>
      <c r="J168" s="2059"/>
      <c r="K168" s="2059"/>
      <c r="L168" s="2059"/>
      <c r="M168" s="2060"/>
    </row>
    <row r="169" spans="1:28">
      <c r="B169" s="2041" t="s">
        <v>397</v>
      </c>
      <c r="C169" s="2042"/>
      <c r="D169" s="2042"/>
      <c r="E169" s="2042"/>
      <c r="F169" s="2042"/>
      <c r="G169" s="2043"/>
      <c r="H169" s="232">
        <v>325</v>
      </c>
      <c r="I169" s="27"/>
      <c r="J169" s="75"/>
      <c r="K169" s="75"/>
      <c r="L169" s="75"/>
      <c r="M169" s="233"/>
    </row>
    <row r="170" spans="1:28">
      <c r="B170" s="2041" t="s">
        <v>398</v>
      </c>
      <c r="C170" s="2042"/>
      <c r="D170" s="2042"/>
      <c r="E170" s="2042"/>
      <c r="F170" s="2042"/>
      <c r="G170" s="2043"/>
      <c r="H170" s="234">
        <f>COUNTA(G133:S133)</f>
        <v>0</v>
      </c>
      <c r="I170" s="75"/>
      <c r="J170" s="75"/>
      <c r="K170" s="75"/>
      <c r="L170" s="75"/>
      <c r="M170" s="233"/>
    </row>
    <row r="171" spans="1:28">
      <c r="B171" s="2038" t="s">
        <v>46</v>
      </c>
      <c r="C171" s="2039"/>
      <c r="D171" s="2039"/>
      <c r="E171" s="2039"/>
      <c r="F171" s="2039"/>
      <c r="G171" s="2040"/>
      <c r="H171" s="239">
        <v>1</v>
      </c>
      <c r="I171" s="239">
        <v>2</v>
      </c>
      <c r="J171" s="239">
        <v>3</v>
      </c>
      <c r="K171" s="240">
        <v>4</v>
      </c>
      <c r="L171" s="241">
        <v>5</v>
      </c>
      <c r="M171" s="242">
        <v>6</v>
      </c>
    </row>
    <row r="172" spans="1:28">
      <c r="B172" s="2041" t="s">
        <v>402</v>
      </c>
      <c r="C172" s="2042"/>
      <c r="D172" s="2042"/>
      <c r="E172" s="2042"/>
      <c r="F172" s="2042"/>
      <c r="G172" s="2043"/>
      <c r="H172" s="244" t="s">
        <v>99</v>
      </c>
      <c r="I172" s="244"/>
      <c r="J172" s="245"/>
      <c r="K172" s="244"/>
      <c r="L172" s="246"/>
      <c r="M172" s="247"/>
    </row>
    <row r="173" spans="1:28">
      <c r="B173" s="2041" t="s">
        <v>403</v>
      </c>
      <c r="C173" s="2042"/>
      <c r="D173" s="2042"/>
      <c r="E173" s="2042"/>
      <c r="F173" s="2042"/>
      <c r="G173" s="2043"/>
      <c r="H173" s="232">
        <v>176</v>
      </c>
      <c r="I173" s="232"/>
      <c r="J173" s="248"/>
      <c r="K173" s="232"/>
      <c r="L173" s="249"/>
      <c r="M173" s="250"/>
      <c r="Y173" s="251" t="s">
        <v>408</v>
      </c>
      <c r="AB173" s="251" t="s">
        <v>409</v>
      </c>
    </row>
    <row r="174" spans="1:28">
      <c r="B174" s="2044" t="s">
        <v>419</v>
      </c>
      <c r="C174" s="2045"/>
      <c r="D174" s="2045"/>
      <c r="E174" s="2045"/>
      <c r="F174" s="2045"/>
      <c r="G174" s="2045"/>
      <c r="H174" s="2045"/>
      <c r="I174" s="2045"/>
      <c r="J174" s="2045"/>
      <c r="K174" s="2045"/>
      <c r="L174" s="2045"/>
      <c r="M174" s="2046"/>
    </row>
    <row r="175" spans="1:28">
      <c r="B175" s="2047"/>
      <c r="C175" s="2048"/>
      <c r="D175" s="2048"/>
      <c r="E175" s="2048"/>
      <c r="F175" s="2048"/>
      <c r="G175" s="2048"/>
      <c r="H175" s="2048"/>
      <c r="I175" s="2048"/>
      <c r="J175" s="2048"/>
      <c r="K175" s="2048"/>
      <c r="L175" s="2048"/>
      <c r="M175" s="2049"/>
    </row>
    <row r="176" spans="1:28">
      <c r="B176" s="2047"/>
      <c r="C176" s="2048"/>
      <c r="D176" s="2048"/>
      <c r="E176" s="2048"/>
      <c r="F176" s="2048"/>
      <c r="G176" s="2048"/>
      <c r="H176" s="2048"/>
      <c r="I176" s="2048"/>
      <c r="J176" s="2048"/>
      <c r="K176" s="2048"/>
      <c r="L176" s="2048"/>
      <c r="M176" s="2049"/>
    </row>
    <row r="177" spans="2:29">
      <c r="B177" s="2047"/>
      <c r="C177" s="2048"/>
      <c r="D177" s="2048"/>
      <c r="E177" s="2048"/>
      <c r="F177" s="2048"/>
      <c r="G177" s="2048"/>
      <c r="H177" s="2048"/>
      <c r="I177" s="2048"/>
      <c r="J177" s="2048"/>
      <c r="K177" s="2048"/>
      <c r="L177" s="2048"/>
      <c r="M177" s="2049"/>
    </row>
    <row r="178" spans="2:29" ht="17.399999999999999">
      <c r="B178" s="2047"/>
      <c r="C178" s="2048"/>
      <c r="D178" s="2048"/>
      <c r="E178" s="2048"/>
      <c r="F178" s="2048"/>
      <c r="G178" s="2048"/>
      <c r="H178" s="2048"/>
      <c r="I178" s="2048"/>
      <c r="J178" s="2048"/>
      <c r="K178" s="2048"/>
      <c r="L178" s="2048"/>
      <c r="M178" s="2049"/>
      <c r="U178" s="243" t="s">
        <v>420</v>
      </c>
      <c r="V178" s="2053" t="s">
        <v>421</v>
      </c>
      <c r="W178" s="2054"/>
      <c r="X178" s="2054"/>
      <c r="Y178" s="2054"/>
      <c r="Z178" s="2054"/>
      <c r="AA178" s="2054"/>
      <c r="AB178" s="2054"/>
      <c r="AC178" s="2054"/>
    </row>
    <row r="179" spans="2:29" ht="15" thickBot="1">
      <c r="B179" s="2050"/>
      <c r="C179" s="2051"/>
      <c r="D179" s="2051"/>
      <c r="E179" s="2051"/>
      <c r="F179" s="2051"/>
      <c r="G179" s="2051"/>
      <c r="H179" s="2051"/>
      <c r="I179" s="2051"/>
      <c r="J179" s="2051"/>
      <c r="K179" s="2051"/>
      <c r="L179" s="2051"/>
      <c r="M179" s="2052"/>
      <c r="U179" s="257" t="s">
        <v>422</v>
      </c>
    </row>
    <row r="180" spans="2:29" ht="15" thickBot="1">
      <c r="B180" s="258"/>
      <c r="C180" s="259"/>
      <c r="D180" s="259"/>
      <c r="E180" s="259"/>
      <c r="F180" s="259"/>
      <c r="G180" s="259"/>
      <c r="H180" s="259"/>
      <c r="I180" s="259"/>
      <c r="J180" s="259"/>
      <c r="K180" s="259"/>
      <c r="L180" s="259"/>
      <c r="M180" s="259"/>
      <c r="U180" s="260"/>
    </row>
    <row r="181" spans="2:29" ht="15" thickBot="1">
      <c r="B181" s="2029" t="s">
        <v>423</v>
      </c>
      <c r="C181" s="2030"/>
      <c r="D181" s="2030"/>
      <c r="E181" s="2030"/>
      <c r="F181" s="2030"/>
      <c r="G181" s="2030"/>
      <c r="H181" s="2030"/>
      <c r="I181" s="2030"/>
      <c r="J181" s="2030"/>
      <c r="K181" s="2030"/>
      <c r="L181" s="2030"/>
      <c r="M181" s="2031"/>
      <c r="Q181" s="261"/>
    </row>
    <row r="182" spans="2:29">
      <c r="B182" s="262" t="s">
        <v>424</v>
      </c>
      <c r="C182" s="263" t="s">
        <v>425</v>
      </c>
      <c r="D182" s="263" t="s">
        <v>426</v>
      </c>
      <c r="E182" s="2032" t="s">
        <v>427</v>
      </c>
      <c r="F182" s="2033"/>
      <c r="G182" s="2033"/>
      <c r="H182" s="2034"/>
      <c r="I182" s="2035" t="s">
        <v>428</v>
      </c>
      <c r="J182" s="2036"/>
      <c r="K182" s="2036"/>
      <c r="L182" s="2036"/>
      <c r="M182" s="2037" t="s">
        <v>429</v>
      </c>
      <c r="N182" s="264" t="s">
        <v>430</v>
      </c>
      <c r="O182" s="264" t="s">
        <v>431</v>
      </c>
      <c r="Q182" s="261"/>
    </row>
    <row r="183" spans="2:29" ht="63" customHeight="1">
      <c r="B183" s="262"/>
      <c r="C183" s="263" t="s">
        <v>346</v>
      </c>
      <c r="D183" s="263" t="s">
        <v>108</v>
      </c>
      <c r="E183" s="263" t="s">
        <v>432</v>
      </c>
      <c r="F183" s="263" t="s">
        <v>433</v>
      </c>
      <c r="G183" s="263" t="s">
        <v>434</v>
      </c>
      <c r="H183" s="945" t="s">
        <v>811</v>
      </c>
      <c r="I183" s="263" t="s">
        <v>432</v>
      </c>
      <c r="J183" s="263" t="s">
        <v>433</v>
      </c>
      <c r="K183" s="263" t="s">
        <v>434</v>
      </c>
      <c r="L183" s="946" t="s">
        <v>811</v>
      </c>
      <c r="M183" s="2037"/>
      <c r="N183" s="264" t="s">
        <v>435</v>
      </c>
      <c r="O183" s="264"/>
      <c r="Q183" s="261"/>
    </row>
    <row r="184" spans="2:29" ht="15" customHeight="1">
      <c r="B184" s="265"/>
      <c r="C184" s="266" t="s">
        <v>436</v>
      </c>
      <c r="D184" s="267"/>
      <c r="E184" s="267"/>
      <c r="F184" s="267"/>
      <c r="G184" s="267"/>
      <c r="H184" s="267"/>
      <c r="I184" s="267"/>
      <c r="J184" s="267"/>
      <c r="K184" s="267"/>
      <c r="L184" s="268"/>
      <c r="M184" s="269"/>
      <c r="N184" s="270" t="s">
        <v>12</v>
      </c>
      <c r="O184" s="271"/>
      <c r="Q184" s="261"/>
    </row>
    <row r="185" spans="2:29" ht="15" customHeight="1">
      <c r="B185" s="272"/>
      <c r="C185" s="266" t="s">
        <v>436</v>
      </c>
      <c r="D185" s="267"/>
      <c r="E185" s="267"/>
      <c r="F185" s="267"/>
      <c r="G185" s="267"/>
      <c r="H185" s="267"/>
      <c r="I185" s="267"/>
      <c r="J185" s="267"/>
      <c r="K185" s="267"/>
      <c r="L185" s="268"/>
      <c r="M185" s="267"/>
      <c r="N185" s="270" t="s">
        <v>12</v>
      </c>
      <c r="O185" s="271"/>
      <c r="Q185" s="261"/>
    </row>
    <row r="186" spans="2:29" ht="15" customHeight="1">
      <c r="B186" s="272"/>
      <c r="C186" s="266" t="s">
        <v>437</v>
      </c>
      <c r="D186" s="267"/>
      <c r="E186" s="273" t="s">
        <v>434</v>
      </c>
      <c r="F186" s="273"/>
      <c r="G186" s="273" t="s">
        <v>433</v>
      </c>
      <c r="H186" s="273"/>
      <c r="I186" s="273" t="s">
        <v>434</v>
      </c>
      <c r="J186" s="273"/>
      <c r="K186" s="273" t="s">
        <v>433</v>
      </c>
      <c r="L186" s="274"/>
      <c r="M186" s="267"/>
      <c r="N186" s="270" t="s">
        <v>12</v>
      </c>
      <c r="O186" s="271"/>
      <c r="Q186" s="261"/>
    </row>
    <row r="187" spans="2:29">
      <c r="B187" s="272"/>
      <c r="C187" s="266" t="s">
        <v>437</v>
      </c>
      <c r="D187" s="267"/>
      <c r="E187" s="267"/>
      <c r="F187" s="267"/>
      <c r="G187" s="267"/>
      <c r="H187" s="267"/>
      <c r="I187" s="267"/>
      <c r="J187" s="267"/>
      <c r="K187" s="267"/>
      <c r="L187" s="268"/>
      <c r="M187" s="267"/>
      <c r="N187" s="270" t="s">
        <v>12</v>
      </c>
      <c r="O187" s="275"/>
      <c r="Q187" s="261" t="s">
        <v>438</v>
      </c>
    </row>
    <row r="188" spans="2:29">
      <c r="B188" s="272"/>
      <c r="C188" s="266" t="s">
        <v>437</v>
      </c>
      <c r="D188" s="267"/>
      <c r="E188" s="267"/>
      <c r="F188" s="267"/>
      <c r="G188" s="267"/>
      <c r="H188" s="267"/>
      <c r="I188" s="267"/>
      <c r="J188" s="267"/>
      <c r="K188" s="267"/>
      <c r="L188" s="268"/>
      <c r="M188" s="267"/>
      <c r="N188" s="270" t="s">
        <v>12</v>
      </c>
      <c r="O188" s="275"/>
      <c r="Q188" s="261"/>
    </row>
    <row r="189" spans="2:29" ht="15" customHeight="1">
      <c r="B189" s="272"/>
      <c r="C189" s="266" t="s">
        <v>437</v>
      </c>
      <c r="D189" s="267"/>
      <c r="E189" s="267"/>
      <c r="F189" s="267"/>
      <c r="G189" s="267"/>
      <c r="H189" s="267"/>
      <c r="I189" s="267"/>
      <c r="J189" s="267"/>
      <c r="K189" s="267"/>
      <c r="L189" s="268"/>
      <c r="M189" s="267"/>
      <c r="N189" s="270" t="s">
        <v>12</v>
      </c>
      <c r="O189" s="275"/>
      <c r="Q189" s="261" t="s">
        <v>439</v>
      </c>
    </row>
    <row r="190" spans="2:29" ht="15" customHeight="1">
      <c r="B190" s="272"/>
      <c r="C190" s="266" t="s">
        <v>436</v>
      </c>
      <c r="D190" s="267"/>
      <c r="E190" s="273" t="s">
        <v>434</v>
      </c>
      <c r="F190" s="273"/>
      <c r="G190" s="273" t="s">
        <v>433</v>
      </c>
      <c r="H190" s="273"/>
      <c r="I190" s="273" t="s">
        <v>434</v>
      </c>
      <c r="J190" s="273"/>
      <c r="K190" s="273" t="s">
        <v>433</v>
      </c>
      <c r="L190" s="274"/>
      <c r="M190" s="267"/>
      <c r="N190" s="270" t="s">
        <v>12</v>
      </c>
      <c r="O190" s="271"/>
      <c r="Q190" s="261"/>
    </row>
    <row r="191" spans="2:29" ht="15.75" customHeight="1">
      <c r="B191" s="272"/>
      <c r="C191" s="266" t="s">
        <v>436</v>
      </c>
      <c r="D191" s="267"/>
      <c r="E191" s="267"/>
      <c r="F191" s="267"/>
      <c r="G191" s="267"/>
      <c r="H191" s="267"/>
      <c r="I191" s="267"/>
      <c r="J191" s="267"/>
      <c r="K191" s="267"/>
      <c r="L191" s="268"/>
      <c r="M191" s="267"/>
      <c r="N191" s="270" t="s">
        <v>12</v>
      </c>
      <c r="O191" s="271"/>
      <c r="Q191" s="261"/>
    </row>
    <row r="192" spans="2:29" ht="15.75" customHeight="1">
      <c r="B192" s="272"/>
      <c r="C192" s="266" t="s">
        <v>436</v>
      </c>
      <c r="D192" s="267"/>
      <c r="E192" s="267"/>
      <c r="F192" s="267"/>
      <c r="G192" s="267"/>
      <c r="H192" s="267"/>
      <c r="I192" s="267"/>
      <c r="J192" s="267"/>
      <c r="K192" s="267"/>
      <c r="L192" s="268"/>
      <c r="M192" s="267"/>
      <c r="N192" s="270" t="s">
        <v>12</v>
      </c>
      <c r="O192" s="275"/>
      <c r="Q192" s="261" t="s">
        <v>440</v>
      </c>
    </row>
    <row r="193" spans="2:29" ht="15" customHeight="1">
      <c r="B193" s="272"/>
      <c r="C193" s="266" t="s">
        <v>436</v>
      </c>
      <c r="D193" s="267"/>
      <c r="E193" s="267"/>
      <c r="F193" s="267"/>
      <c r="G193" s="267"/>
      <c r="H193" s="267"/>
      <c r="I193" s="267"/>
      <c r="J193" s="267"/>
      <c r="K193" s="267"/>
      <c r="L193" s="268"/>
      <c r="M193" s="267"/>
      <c r="N193" s="270" t="s">
        <v>12</v>
      </c>
      <c r="O193" s="271"/>
      <c r="Q193" s="261"/>
    </row>
    <row r="194" spans="2:29" ht="15" customHeight="1">
      <c r="B194" s="272"/>
      <c r="C194" s="266" t="s">
        <v>436</v>
      </c>
      <c r="D194" s="267"/>
      <c r="E194" s="273" t="s">
        <v>434</v>
      </c>
      <c r="F194" s="273"/>
      <c r="G194" s="273" t="s">
        <v>433</v>
      </c>
      <c r="H194" s="273"/>
      <c r="I194" s="273" t="s">
        <v>434</v>
      </c>
      <c r="J194" s="273"/>
      <c r="K194" s="273" t="s">
        <v>433</v>
      </c>
      <c r="L194" s="274"/>
      <c r="M194" s="267"/>
      <c r="N194" s="270" t="s">
        <v>12</v>
      </c>
      <c r="O194" s="271"/>
      <c r="Q194" s="261"/>
    </row>
    <row r="195" spans="2:29" ht="15" customHeight="1">
      <c r="B195" s="272"/>
      <c r="C195" s="266" t="s">
        <v>436</v>
      </c>
      <c r="D195" s="267"/>
      <c r="E195" s="267"/>
      <c r="F195" s="267"/>
      <c r="G195" s="267"/>
      <c r="H195" s="267"/>
      <c r="I195" s="267"/>
      <c r="J195" s="267"/>
      <c r="K195" s="267"/>
      <c r="L195" s="268"/>
      <c r="M195" s="267"/>
      <c r="N195" s="270" t="s">
        <v>12</v>
      </c>
      <c r="O195" s="271"/>
      <c r="Q195" s="261"/>
    </row>
    <row r="196" spans="2:29">
      <c r="B196" s="272"/>
      <c r="C196" s="266" t="s">
        <v>436</v>
      </c>
      <c r="D196" s="267"/>
      <c r="E196" s="267"/>
      <c r="F196" s="267"/>
      <c r="G196" s="267"/>
      <c r="H196" s="267"/>
      <c r="I196" s="267"/>
      <c r="J196" s="267"/>
      <c r="K196" s="267"/>
      <c r="L196" s="268"/>
      <c r="M196" s="267"/>
      <c r="N196" s="270" t="s">
        <v>12</v>
      </c>
      <c r="O196" s="271"/>
      <c r="Q196" s="261"/>
    </row>
    <row r="197" spans="2:29">
      <c r="B197" s="272"/>
      <c r="C197" s="266" t="s">
        <v>436</v>
      </c>
      <c r="D197" s="266"/>
      <c r="E197" s="266"/>
      <c r="F197" s="266"/>
      <c r="G197" s="266"/>
      <c r="H197" s="266"/>
      <c r="I197" s="266"/>
      <c r="J197" s="266"/>
      <c r="K197" s="266"/>
      <c r="L197" s="276"/>
      <c r="M197" s="267"/>
      <c r="N197" s="270" t="s">
        <v>12</v>
      </c>
      <c r="O197" s="271"/>
      <c r="Q197" s="261"/>
    </row>
    <row r="198" spans="2:29" s="1" customFormat="1">
      <c r="B198" s="277"/>
      <c r="C198" s="277"/>
      <c r="D198" s="277"/>
      <c r="E198" s="277"/>
      <c r="F198" s="277"/>
      <c r="G198" s="277"/>
      <c r="H198" s="277"/>
      <c r="I198" s="277"/>
      <c r="J198" s="277"/>
      <c r="K198" s="277"/>
      <c r="L198" s="277"/>
      <c r="N198" s="18"/>
      <c r="O198" s="10"/>
      <c r="P198" s="10"/>
      <c r="Q198" s="10"/>
      <c r="R198" s="10"/>
      <c r="U198" s="219"/>
    </row>
    <row r="199" spans="2:29" s="1" customFormat="1" ht="15" thickBot="1">
      <c r="B199" s="277"/>
      <c r="C199" s="277"/>
      <c r="D199" s="277"/>
      <c r="E199" s="277"/>
      <c r="F199" s="277"/>
      <c r="G199" s="277"/>
      <c r="H199" s="277"/>
      <c r="I199" s="277"/>
      <c r="J199" s="277"/>
      <c r="K199" s="277"/>
      <c r="L199" s="277"/>
      <c r="N199" s="18"/>
      <c r="O199" s="10"/>
      <c r="P199" s="10"/>
      <c r="Q199" s="10"/>
      <c r="R199" s="10"/>
      <c r="U199" s="219"/>
    </row>
    <row r="200" spans="2:29">
      <c r="B200" s="1980" t="s">
        <v>441</v>
      </c>
      <c r="C200" s="1981"/>
      <c r="D200" s="1981"/>
      <c r="E200" s="1981"/>
      <c r="F200" s="1981"/>
      <c r="G200" s="1981"/>
      <c r="H200" s="1981"/>
      <c r="I200" s="1981"/>
      <c r="J200" s="1981"/>
      <c r="K200" s="1981"/>
      <c r="L200" s="1981"/>
      <c r="M200" s="1982"/>
      <c r="N200" s="278"/>
      <c r="O200" s="35"/>
      <c r="Q200" s="261"/>
    </row>
    <row r="201" spans="2:29">
      <c r="B201" s="279"/>
      <c r="C201" s="279"/>
      <c r="D201" s="279"/>
      <c r="E201" s="279"/>
      <c r="F201" s="279"/>
      <c r="G201" s="279"/>
      <c r="H201" s="279"/>
      <c r="I201" s="279"/>
      <c r="J201" s="279"/>
      <c r="K201" s="279"/>
      <c r="L201" s="279"/>
      <c r="N201" s="278"/>
      <c r="O201" s="35"/>
      <c r="Q201" s="261"/>
    </row>
    <row r="202" spans="2:29">
      <c r="C202" s="279"/>
      <c r="G202" s="280" t="s">
        <v>442</v>
      </c>
      <c r="H202" s="280" t="s">
        <v>434</v>
      </c>
      <c r="I202" s="280" t="s">
        <v>433</v>
      </c>
      <c r="L202" s="279"/>
      <c r="N202" s="278"/>
      <c r="O202" s="35"/>
      <c r="Q202" s="261"/>
    </row>
    <row r="203" spans="2:29" ht="15.75" customHeight="1">
      <c r="B203" s="2021" t="s">
        <v>443</v>
      </c>
      <c r="C203" s="2021"/>
      <c r="D203" s="2021"/>
      <c r="E203" s="2021"/>
      <c r="F203" s="2022"/>
      <c r="G203" s="267"/>
      <c r="H203" s="267"/>
      <c r="I203" s="267"/>
      <c r="J203" s="279"/>
      <c r="K203" s="279"/>
      <c r="L203" s="279"/>
      <c r="N203" s="278"/>
      <c r="O203" s="35"/>
      <c r="Q203" s="261"/>
      <c r="Y203" s="251" t="s">
        <v>408</v>
      </c>
      <c r="AB203" s="251" t="s">
        <v>409</v>
      </c>
    </row>
    <row r="204" spans="2:29">
      <c r="B204" s="2019" t="s">
        <v>444</v>
      </c>
      <c r="C204" s="2019"/>
      <c r="D204" s="2019"/>
      <c r="E204" s="2019"/>
      <c r="F204" s="2020"/>
      <c r="G204" s="281" t="s">
        <v>445</v>
      </c>
      <c r="H204" s="281"/>
      <c r="I204" s="281"/>
      <c r="K204" s="35" t="s">
        <v>446</v>
      </c>
      <c r="L204" s="279"/>
      <c r="N204" s="278"/>
      <c r="O204" s="35"/>
      <c r="Q204" s="261"/>
    </row>
    <row r="205" spans="2:29" ht="17.399999999999999">
      <c r="B205" s="2019" t="s">
        <v>447</v>
      </c>
      <c r="C205" s="2019"/>
      <c r="D205" s="2019"/>
      <c r="E205" s="2019"/>
      <c r="F205" s="2020"/>
      <c r="G205" s="225"/>
      <c r="H205" s="225"/>
      <c r="I205" s="225"/>
      <c r="L205" s="279"/>
      <c r="N205" s="278"/>
      <c r="O205" s="35"/>
      <c r="Q205" s="261"/>
      <c r="U205" s="235">
        <v>2</v>
      </c>
      <c r="V205" s="236" t="s">
        <v>448</v>
      </c>
      <c r="W205" s="237"/>
      <c r="X205" s="237"/>
      <c r="Y205" s="237"/>
      <c r="Z205" s="237"/>
      <c r="AA205" s="237"/>
      <c r="AB205" s="237"/>
      <c r="AC205" s="238"/>
    </row>
    <row r="206" spans="2:29" ht="17.399999999999999">
      <c r="B206" s="2019" t="s">
        <v>449</v>
      </c>
      <c r="C206" s="2019"/>
      <c r="D206" s="2019"/>
      <c r="E206" s="2019"/>
      <c r="F206" s="2020"/>
      <c r="G206" s="225"/>
      <c r="H206" s="225"/>
      <c r="I206" s="225"/>
      <c r="L206" s="279"/>
      <c r="N206" s="278"/>
      <c r="O206" s="35"/>
      <c r="Q206" s="261"/>
      <c r="U206" s="243" t="s">
        <v>450</v>
      </c>
      <c r="V206" s="236" t="s">
        <v>401</v>
      </c>
      <c r="W206" s="237"/>
      <c r="X206" s="237"/>
      <c r="Y206" s="237"/>
      <c r="Z206" s="237"/>
      <c r="AA206" s="237"/>
      <c r="AB206" s="237"/>
      <c r="AC206" s="238"/>
    </row>
    <row r="207" spans="2:29">
      <c r="B207" s="2025" t="s">
        <v>451</v>
      </c>
      <c r="C207" s="2025"/>
      <c r="D207" s="2025"/>
      <c r="E207" s="2025"/>
      <c r="F207" s="2026"/>
      <c r="G207" s="225"/>
      <c r="H207" s="225"/>
      <c r="I207" s="225"/>
      <c r="L207" s="279"/>
      <c r="N207" s="278"/>
      <c r="O207" s="35"/>
      <c r="Q207" s="261"/>
    </row>
    <row r="208" spans="2:29">
      <c r="B208" s="2025" t="s">
        <v>452</v>
      </c>
      <c r="C208" s="2025"/>
      <c r="D208" s="2025"/>
      <c r="E208" s="2025"/>
      <c r="F208" s="2026"/>
      <c r="G208" s="225"/>
      <c r="H208" s="225"/>
      <c r="I208" s="225"/>
      <c r="L208" s="279"/>
      <c r="N208" s="278"/>
      <c r="O208" s="35"/>
      <c r="Q208" s="261"/>
    </row>
    <row r="209" spans="2:28" ht="15" customHeight="1">
      <c r="B209" s="2027" t="s">
        <v>453</v>
      </c>
      <c r="C209" s="2027"/>
      <c r="D209" s="2027"/>
      <c r="E209" s="2027"/>
      <c r="F209" s="2028"/>
      <c r="G209" s="225"/>
      <c r="H209" s="225"/>
      <c r="I209" s="225"/>
      <c r="L209" s="282"/>
      <c r="M209" s="282"/>
      <c r="N209" s="35"/>
      <c r="O209" s="35"/>
      <c r="Q209" s="261"/>
    </row>
    <row r="210" spans="2:28">
      <c r="B210" s="2019" t="s">
        <v>454</v>
      </c>
      <c r="C210" s="2019"/>
      <c r="D210" s="2019"/>
      <c r="E210" s="2019"/>
      <c r="F210" s="2020"/>
      <c r="G210" s="225"/>
      <c r="H210" s="225"/>
      <c r="I210" s="225"/>
      <c r="L210" s="279"/>
      <c r="N210" s="278"/>
      <c r="O210" s="35"/>
      <c r="Q210" s="261"/>
    </row>
    <row r="211" spans="2:28">
      <c r="B211" s="2019" t="s">
        <v>455</v>
      </c>
      <c r="C211" s="2019"/>
      <c r="D211" s="2019"/>
      <c r="E211" s="2019"/>
      <c r="F211" s="2020"/>
      <c r="G211" s="225"/>
      <c r="H211" s="225"/>
      <c r="I211" s="225"/>
      <c r="L211" s="279"/>
      <c r="N211" s="278"/>
      <c r="O211" s="35"/>
      <c r="Q211" s="261"/>
    </row>
    <row r="212" spans="2:28">
      <c r="B212" s="2025" t="s">
        <v>456</v>
      </c>
      <c r="C212" s="2025"/>
      <c r="D212" s="2025"/>
      <c r="E212" s="2025"/>
      <c r="F212" s="2026"/>
      <c r="G212" s="225"/>
      <c r="H212" s="225"/>
      <c r="I212" s="225"/>
      <c r="L212" s="279"/>
      <c r="N212" s="278"/>
      <c r="O212" s="35"/>
      <c r="Q212" s="261"/>
    </row>
    <row r="213" spans="2:28">
      <c r="B213" s="2025" t="s">
        <v>457</v>
      </c>
      <c r="C213" s="2025"/>
      <c r="D213" s="2025"/>
      <c r="E213" s="2025"/>
      <c r="F213" s="2026"/>
      <c r="G213" s="225"/>
      <c r="H213" s="225"/>
      <c r="I213" s="225"/>
      <c r="L213" s="279"/>
      <c r="N213" s="278"/>
      <c r="O213" s="35"/>
      <c r="Q213" s="261"/>
    </row>
    <row r="214" spans="2:28" ht="15.75" customHeight="1">
      <c r="B214" s="2021" t="s">
        <v>458</v>
      </c>
      <c r="C214" s="2021"/>
      <c r="D214" s="2021"/>
      <c r="E214" s="2021"/>
      <c r="F214" s="2022"/>
      <c r="G214" s="267"/>
      <c r="H214" s="267"/>
      <c r="I214" s="267"/>
      <c r="J214" s="279"/>
      <c r="K214" s="279"/>
      <c r="L214" s="279"/>
      <c r="N214" s="278"/>
      <c r="O214" s="35"/>
      <c r="Q214" s="261"/>
    </row>
    <row r="215" spans="2:28">
      <c r="B215" s="2019" t="s">
        <v>459</v>
      </c>
      <c r="C215" s="2019"/>
      <c r="D215" s="2019"/>
      <c r="E215" s="2019"/>
      <c r="F215" s="2020"/>
      <c r="G215" s="267"/>
      <c r="H215" s="267"/>
      <c r="I215" s="267"/>
      <c r="J215" s="279"/>
      <c r="K215" s="279"/>
      <c r="L215" s="279"/>
      <c r="N215" s="278"/>
      <c r="O215" s="35"/>
      <c r="Q215" s="261"/>
    </row>
    <row r="216" spans="2:28">
      <c r="B216" s="2019" t="s">
        <v>447</v>
      </c>
      <c r="C216" s="2019"/>
      <c r="D216" s="2019"/>
      <c r="E216" s="2019"/>
      <c r="F216" s="2020"/>
      <c r="G216" s="267"/>
      <c r="H216" s="267"/>
      <c r="I216" s="267"/>
      <c r="J216" s="279"/>
      <c r="K216" s="279"/>
      <c r="L216" s="279"/>
      <c r="N216" s="278"/>
      <c r="O216" s="35"/>
      <c r="Q216" s="261"/>
    </row>
    <row r="217" spans="2:28">
      <c r="B217" s="2019" t="s">
        <v>449</v>
      </c>
      <c r="C217" s="2019"/>
      <c r="D217" s="2019"/>
      <c r="E217" s="2019"/>
      <c r="F217" s="2020"/>
      <c r="G217" s="267"/>
      <c r="H217" s="267"/>
      <c r="I217" s="267"/>
      <c r="J217" s="279"/>
      <c r="K217" s="279"/>
      <c r="L217" s="279"/>
      <c r="N217" s="278"/>
      <c r="O217" s="35"/>
      <c r="Q217" s="261"/>
    </row>
    <row r="218" spans="2:28">
      <c r="B218" s="2019" t="s">
        <v>451</v>
      </c>
      <c r="C218" s="2019"/>
      <c r="D218" s="2019"/>
      <c r="E218" s="2019"/>
      <c r="F218" s="2020"/>
      <c r="G218" s="267"/>
      <c r="H218" s="267"/>
      <c r="I218" s="267"/>
      <c r="J218" s="279"/>
      <c r="K218" s="279"/>
      <c r="L218" s="279"/>
      <c r="N218" s="278"/>
      <c r="O218" s="35"/>
      <c r="Q218" s="261"/>
    </row>
    <row r="219" spans="2:28">
      <c r="B219" s="2019" t="s">
        <v>452</v>
      </c>
      <c r="C219" s="2019"/>
      <c r="D219" s="2019"/>
      <c r="E219" s="2019"/>
      <c r="F219" s="2020"/>
      <c r="G219" s="267"/>
      <c r="H219" s="267"/>
      <c r="I219" s="267"/>
      <c r="J219" s="279"/>
      <c r="K219" s="279"/>
      <c r="L219" s="279"/>
      <c r="N219" s="278"/>
      <c r="O219" s="35"/>
      <c r="Q219" s="261"/>
    </row>
    <row r="220" spans="2:28" ht="15" customHeight="1">
      <c r="B220" s="2023" t="s">
        <v>453</v>
      </c>
      <c r="C220" s="2023"/>
      <c r="D220" s="2023"/>
      <c r="E220" s="2023"/>
      <c r="F220" s="2024"/>
      <c r="G220" s="248"/>
      <c r="H220" s="248"/>
      <c r="I220" s="248"/>
      <c r="J220" s="282"/>
      <c r="K220" s="282"/>
      <c r="L220" s="282"/>
      <c r="M220" s="282"/>
      <c r="N220" s="35"/>
      <c r="O220" s="35"/>
      <c r="Q220" s="261"/>
    </row>
    <row r="221" spans="2:28">
      <c r="B221" s="2019" t="s">
        <v>454</v>
      </c>
      <c r="C221" s="2019"/>
      <c r="D221" s="2019"/>
      <c r="E221" s="2019"/>
      <c r="F221" s="2020"/>
      <c r="G221" s="267"/>
      <c r="H221" s="267"/>
      <c r="I221" s="267"/>
      <c r="J221" s="279"/>
      <c r="K221" s="279"/>
      <c r="L221" s="279"/>
      <c r="N221" s="278"/>
      <c r="O221" s="35"/>
      <c r="Q221" s="261"/>
    </row>
    <row r="222" spans="2:28">
      <c r="B222" s="2019" t="s">
        <v>455</v>
      </c>
      <c r="C222" s="2019"/>
      <c r="D222" s="2019"/>
      <c r="E222" s="2019"/>
      <c r="F222" s="2020"/>
      <c r="G222" s="267"/>
      <c r="H222" s="267"/>
      <c r="I222" s="267"/>
      <c r="J222" s="279"/>
      <c r="K222" s="279"/>
      <c r="L222" s="279"/>
      <c r="N222" s="278"/>
      <c r="O222" s="35"/>
      <c r="Q222" s="261"/>
    </row>
    <row r="223" spans="2:28">
      <c r="B223" s="2019" t="s">
        <v>456</v>
      </c>
      <c r="C223" s="2019"/>
      <c r="D223" s="2019"/>
      <c r="E223" s="2019"/>
      <c r="F223" s="2020"/>
      <c r="G223" s="267"/>
      <c r="H223" s="267"/>
      <c r="I223" s="267"/>
      <c r="J223" s="279"/>
      <c r="K223" s="279"/>
      <c r="L223" s="279"/>
      <c r="N223" s="278"/>
      <c r="O223" s="35"/>
      <c r="Q223" s="261"/>
    </row>
    <row r="224" spans="2:28">
      <c r="B224" s="2019" t="s">
        <v>457</v>
      </c>
      <c r="C224" s="2019"/>
      <c r="D224" s="2019"/>
      <c r="E224" s="2019"/>
      <c r="F224" s="2020"/>
      <c r="G224" s="267"/>
      <c r="H224" s="267"/>
      <c r="I224" s="267"/>
      <c r="J224" s="279"/>
      <c r="K224" s="279"/>
      <c r="L224" s="279"/>
      <c r="N224" s="278"/>
      <c r="O224" s="35"/>
      <c r="Q224" s="261"/>
      <c r="Y224" s="251" t="s">
        <v>408</v>
      </c>
      <c r="AB224" s="251" t="s">
        <v>409</v>
      </c>
    </row>
    <row r="225" spans="1:29">
      <c r="B225" s="2021" t="s">
        <v>460</v>
      </c>
      <c r="C225" s="2021"/>
      <c r="D225" s="2021"/>
      <c r="E225" s="2021"/>
      <c r="F225" s="2022"/>
      <c r="G225" s="267"/>
      <c r="H225" s="267"/>
      <c r="I225" s="267"/>
      <c r="J225" s="279"/>
      <c r="K225" s="279"/>
      <c r="L225" s="279"/>
      <c r="N225" s="278"/>
      <c r="O225" s="35"/>
      <c r="Q225" s="261"/>
    </row>
    <row r="226" spans="1:29">
      <c r="B226" s="2011" t="s">
        <v>444</v>
      </c>
      <c r="C226" s="2011"/>
      <c r="D226" s="2011"/>
      <c r="E226" s="2011"/>
      <c r="F226" s="2012"/>
      <c r="G226" s="267"/>
      <c r="H226" s="267"/>
      <c r="I226" s="267"/>
      <c r="J226" s="279"/>
      <c r="K226" s="279"/>
      <c r="L226" s="279"/>
      <c r="N226" s="278"/>
      <c r="O226" s="35"/>
      <c r="Q226" s="261"/>
      <c r="U226" s="252" t="s">
        <v>410</v>
      </c>
    </row>
    <row r="227" spans="1:29">
      <c r="B227" s="2011" t="s">
        <v>461</v>
      </c>
      <c r="C227" s="2011"/>
      <c r="D227" s="2011"/>
      <c r="E227" s="2011"/>
      <c r="F227" s="2012"/>
      <c r="G227" s="267"/>
      <c r="H227" s="267"/>
      <c r="I227" s="267"/>
      <c r="J227" s="279"/>
      <c r="K227" s="279"/>
      <c r="L227" s="279"/>
      <c r="N227" s="278"/>
      <c r="O227" s="35"/>
      <c r="Q227" s="261"/>
    </row>
    <row r="228" spans="1:29" ht="17.399999999999999">
      <c r="B228" s="2011" t="s">
        <v>462</v>
      </c>
      <c r="C228" s="2011"/>
      <c r="D228" s="2011"/>
      <c r="E228" s="2011"/>
      <c r="F228" s="2012"/>
      <c r="G228" s="267"/>
      <c r="H228" s="267"/>
      <c r="I228" s="267"/>
      <c r="J228" s="279"/>
      <c r="K228" s="279"/>
      <c r="L228" s="279"/>
      <c r="N228" s="278"/>
      <c r="O228" s="35"/>
      <c r="Q228" s="261"/>
      <c r="U228" s="243" t="s">
        <v>450</v>
      </c>
      <c r="V228" s="236" t="s">
        <v>463</v>
      </c>
      <c r="W228" s="237"/>
      <c r="X228" s="237"/>
      <c r="Y228" s="237"/>
      <c r="Z228" s="237"/>
      <c r="AA228" s="237"/>
      <c r="AB228" s="237"/>
      <c r="AC228" s="238"/>
    </row>
    <row r="229" spans="1:29">
      <c r="B229" s="2013" t="s">
        <v>464</v>
      </c>
      <c r="C229" s="2013"/>
      <c r="D229" s="2013"/>
      <c r="E229" s="2013"/>
      <c r="F229" s="2013"/>
      <c r="G229" s="267"/>
      <c r="H229" s="267"/>
      <c r="I229" s="267"/>
      <c r="J229" s="279"/>
      <c r="K229" s="279"/>
      <c r="L229" s="279"/>
      <c r="N229" s="278"/>
      <c r="O229" s="35"/>
      <c r="Q229" s="261"/>
    </row>
    <row r="230" spans="1:29" s="1" customFormat="1">
      <c r="A230" s="277"/>
      <c r="B230" s="277"/>
      <c r="C230" s="277"/>
      <c r="D230" s="277"/>
      <c r="E230" s="277"/>
      <c r="F230" s="277"/>
      <c r="G230" s="277"/>
      <c r="H230" s="277"/>
      <c r="I230" s="277"/>
      <c r="J230" s="277"/>
      <c r="K230" s="277"/>
      <c r="L230" s="277"/>
      <c r="N230" s="18"/>
      <c r="O230" s="10"/>
      <c r="P230" s="10"/>
      <c r="Q230" s="10"/>
      <c r="R230" s="10"/>
      <c r="U230" s="219"/>
    </row>
    <row r="231" spans="1:29" s="1" customFormat="1">
      <c r="A231" s="277"/>
      <c r="B231" s="277"/>
      <c r="C231" s="277"/>
      <c r="D231" s="277"/>
      <c r="E231" s="277"/>
      <c r="F231" s="277"/>
      <c r="G231" s="277"/>
      <c r="H231" s="277"/>
      <c r="I231" s="277"/>
      <c r="J231" s="277"/>
      <c r="K231" s="277"/>
      <c r="L231" s="277"/>
      <c r="N231" s="18"/>
      <c r="O231" s="10"/>
      <c r="P231" s="10"/>
      <c r="Q231" s="10"/>
      <c r="R231" s="10"/>
      <c r="U231" s="219"/>
    </row>
    <row r="232" spans="1:29" s="1" customFormat="1" ht="15" customHeight="1" thickBot="1">
      <c r="A232" s="16"/>
      <c r="B232" s="16"/>
      <c r="C232" s="16"/>
      <c r="D232" s="16"/>
      <c r="E232" s="17"/>
      <c r="F232" s="18"/>
      <c r="G232" s="4"/>
      <c r="H232" s="4"/>
      <c r="I232" s="4"/>
      <c r="J232" s="4"/>
      <c r="K232" s="4"/>
      <c r="L232" s="4"/>
      <c r="M232" s="4"/>
      <c r="N232" s="10"/>
      <c r="O232" s="10"/>
      <c r="P232" s="10"/>
      <c r="Q232" s="10"/>
      <c r="R232" s="10"/>
      <c r="U232" s="219"/>
    </row>
    <row r="233" spans="1:29">
      <c r="B233" s="2014" t="s">
        <v>465</v>
      </c>
      <c r="C233" s="2015"/>
      <c r="D233" s="2015"/>
      <c r="E233" s="2015"/>
      <c r="F233" s="2015"/>
      <c r="G233" s="2015"/>
      <c r="H233" s="2015"/>
      <c r="I233" s="2015"/>
      <c r="J233" s="2015"/>
      <c r="K233" s="2015"/>
      <c r="L233" s="2015"/>
      <c r="M233" s="2016"/>
      <c r="Q233" s="261"/>
    </row>
    <row r="234" spans="1:29">
      <c r="B234" s="2017" t="s">
        <v>466</v>
      </c>
      <c r="C234" s="1985"/>
      <c r="D234" s="1985"/>
      <c r="E234" s="1985"/>
      <c r="F234" s="1985"/>
      <c r="G234" s="1986"/>
      <c r="H234" s="1984" t="s">
        <v>467</v>
      </c>
      <c r="I234" s="1985"/>
      <c r="J234" s="1986"/>
      <c r="K234" s="1984" t="s">
        <v>468</v>
      </c>
      <c r="L234" s="1985"/>
      <c r="M234" s="2018"/>
      <c r="Q234" s="261" t="s">
        <v>440</v>
      </c>
    </row>
    <row r="235" spans="1:29">
      <c r="B235" s="2006" t="s">
        <v>469</v>
      </c>
      <c r="C235" s="1962"/>
      <c r="D235" s="1962"/>
      <c r="E235" s="1962"/>
      <c r="F235" s="1953"/>
      <c r="G235" s="283" t="s">
        <v>41</v>
      </c>
      <c r="H235" s="2007" t="s">
        <v>442</v>
      </c>
      <c r="I235" s="2008"/>
      <c r="J235" s="283" t="s">
        <v>41</v>
      </c>
      <c r="K235" s="2009" t="s">
        <v>470</v>
      </c>
      <c r="L235" s="2010"/>
      <c r="M235" s="284" t="s">
        <v>41</v>
      </c>
    </row>
    <row r="236" spans="1:29">
      <c r="B236" s="1999" t="s">
        <v>471</v>
      </c>
      <c r="C236" s="2000"/>
      <c r="D236" s="2000"/>
      <c r="E236" s="2000"/>
      <c r="F236" s="2000"/>
      <c r="G236" s="283" t="s">
        <v>41</v>
      </c>
      <c r="H236" s="2001" t="s">
        <v>472</v>
      </c>
      <c r="I236" s="2001"/>
      <c r="J236" s="283" t="s">
        <v>41</v>
      </c>
      <c r="K236" s="1972" t="s">
        <v>473</v>
      </c>
      <c r="L236" s="1972"/>
      <c r="M236" s="284" t="s">
        <v>41</v>
      </c>
    </row>
    <row r="237" spans="1:29">
      <c r="B237" s="1999" t="s">
        <v>474</v>
      </c>
      <c r="C237" s="2000"/>
      <c r="D237" s="2000"/>
      <c r="E237" s="2000"/>
      <c r="F237" s="2000"/>
      <c r="G237" s="283" t="s">
        <v>41</v>
      </c>
      <c r="H237" s="2001" t="s">
        <v>475</v>
      </c>
      <c r="I237" s="2001"/>
      <c r="J237" s="283" t="s">
        <v>41</v>
      </c>
      <c r="K237" s="1972" t="s">
        <v>476</v>
      </c>
      <c r="L237" s="1972"/>
      <c r="M237" s="284" t="s">
        <v>41</v>
      </c>
    </row>
    <row r="238" spans="1:29">
      <c r="B238" s="2002" t="s">
        <v>477</v>
      </c>
      <c r="C238" s="2003"/>
      <c r="D238" s="2003"/>
      <c r="E238" s="2003"/>
      <c r="F238" s="2003"/>
      <c r="G238" s="285" t="s">
        <v>41</v>
      </c>
      <c r="H238" s="2004" t="s">
        <v>478</v>
      </c>
      <c r="I238" s="2004"/>
      <c r="J238" s="285" t="s">
        <v>41</v>
      </c>
      <c r="K238" s="1973"/>
      <c r="L238" s="1974"/>
      <c r="M238" s="2005"/>
    </row>
    <row r="239" spans="1:29">
      <c r="B239" s="1994" t="s">
        <v>479</v>
      </c>
      <c r="C239" s="1995"/>
      <c r="D239" s="1995"/>
      <c r="E239" s="1995"/>
      <c r="F239" s="1995"/>
      <c r="G239" s="1995"/>
      <c r="H239" s="1995"/>
      <c r="I239" s="1995"/>
      <c r="J239" s="1995"/>
      <c r="K239" s="1995"/>
      <c r="L239" s="1995"/>
      <c r="M239" s="1996"/>
    </row>
    <row r="240" spans="1:29">
      <c r="B240" s="1987" t="s">
        <v>480</v>
      </c>
      <c r="C240" s="1988"/>
      <c r="D240" s="1988"/>
      <c r="E240" s="1988"/>
      <c r="F240" s="1988"/>
      <c r="G240" s="1988"/>
      <c r="H240" s="1988"/>
      <c r="I240" s="286"/>
      <c r="J240" s="286"/>
      <c r="K240" s="286"/>
      <c r="L240" s="286"/>
      <c r="M240" s="287"/>
    </row>
    <row r="241" spans="2:28">
      <c r="B241" s="1960" t="s">
        <v>481</v>
      </c>
      <c r="C241" s="1961"/>
      <c r="D241" s="1961"/>
      <c r="E241" s="1961"/>
      <c r="F241" s="1961"/>
      <c r="G241" s="288"/>
      <c r="H241" s="289"/>
      <c r="I241" s="286"/>
      <c r="J241" s="286"/>
      <c r="K241" s="286"/>
      <c r="L241" s="286"/>
      <c r="M241" s="287"/>
    </row>
    <row r="242" spans="2:28">
      <c r="B242" s="1960" t="s">
        <v>482</v>
      </c>
      <c r="C242" s="1961"/>
      <c r="D242" s="1961"/>
      <c r="E242" s="1961"/>
      <c r="F242" s="1961"/>
      <c r="G242" s="288"/>
      <c r="H242" s="289"/>
      <c r="I242" s="286"/>
      <c r="J242" s="286"/>
      <c r="K242" s="286"/>
      <c r="L242" s="286"/>
      <c r="M242" s="287"/>
    </row>
    <row r="243" spans="2:28" ht="15.75" customHeight="1">
      <c r="B243" s="1960" t="s">
        <v>483</v>
      </c>
      <c r="C243" s="1961"/>
      <c r="D243" s="1961"/>
      <c r="E243" s="1961"/>
      <c r="F243" s="1961"/>
      <c r="G243" s="288" t="s">
        <v>190</v>
      </c>
      <c r="H243" s="289"/>
      <c r="I243" s="286"/>
      <c r="J243" s="286"/>
      <c r="K243" s="286"/>
      <c r="L243" s="286"/>
      <c r="M243" s="287"/>
      <c r="P243" s="35"/>
      <c r="Q243" s="35"/>
      <c r="R243" s="35"/>
      <c r="S243"/>
      <c r="T243"/>
    </row>
    <row r="244" spans="2:28" ht="15" customHeight="1">
      <c r="B244" s="1960" t="s">
        <v>484</v>
      </c>
      <c r="C244" s="1961"/>
      <c r="D244" s="1961"/>
      <c r="E244" s="1961"/>
      <c r="F244" s="1961"/>
      <c r="G244" s="288" t="s">
        <v>485</v>
      </c>
      <c r="H244" s="289"/>
      <c r="I244" s="286"/>
      <c r="J244" s="286"/>
      <c r="K244" s="286"/>
      <c r="L244" s="286"/>
      <c r="M244" s="287"/>
      <c r="P244" s="35"/>
      <c r="Q244" s="35"/>
      <c r="R244" s="35"/>
      <c r="S244"/>
      <c r="T244"/>
    </row>
    <row r="245" spans="2:28" ht="15" customHeight="1">
      <c r="B245" s="1960" t="s">
        <v>486</v>
      </c>
      <c r="C245" s="1961"/>
      <c r="D245" s="1961"/>
      <c r="E245" s="1961"/>
      <c r="F245" s="1961"/>
      <c r="G245" s="288"/>
      <c r="H245" s="289"/>
      <c r="I245" s="286"/>
      <c r="J245" s="286"/>
      <c r="K245" s="286"/>
      <c r="L245" s="286"/>
      <c r="M245" s="287"/>
      <c r="P245" s="35"/>
      <c r="Q245" s="35"/>
      <c r="R245" s="35"/>
      <c r="S245"/>
      <c r="T245"/>
    </row>
    <row r="246" spans="2:28">
      <c r="B246" s="1960" t="s">
        <v>487</v>
      </c>
      <c r="C246" s="1961"/>
      <c r="D246" s="1961"/>
      <c r="E246" s="1961"/>
      <c r="F246" s="1961"/>
      <c r="G246" s="288" t="s">
        <v>488</v>
      </c>
      <c r="H246" s="289"/>
      <c r="I246" s="286"/>
      <c r="J246" s="286"/>
      <c r="K246" s="286"/>
      <c r="L246" s="286"/>
      <c r="M246" s="287"/>
      <c r="P246" s="35"/>
      <c r="Q246" s="35"/>
      <c r="R246" s="35"/>
      <c r="S246"/>
      <c r="T246"/>
    </row>
    <row r="247" spans="2:28" ht="15" customHeight="1">
      <c r="B247" s="1960" t="s">
        <v>489</v>
      </c>
      <c r="C247" s="1961"/>
      <c r="D247" s="1961"/>
      <c r="E247" s="1961"/>
      <c r="F247" s="1961"/>
      <c r="G247" s="288" t="s">
        <v>190</v>
      </c>
      <c r="H247" s="289"/>
      <c r="I247" s="286"/>
      <c r="J247" s="286"/>
      <c r="K247" s="286"/>
      <c r="L247" s="286"/>
      <c r="M247" s="287"/>
      <c r="P247" s="35"/>
      <c r="Q247" s="35"/>
      <c r="R247" s="35"/>
      <c r="S247"/>
      <c r="T247"/>
      <c r="Y247" s="251" t="s">
        <v>408</v>
      </c>
      <c r="AB247" s="251" t="s">
        <v>409</v>
      </c>
    </row>
    <row r="248" spans="2:28" ht="15" customHeight="1">
      <c r="B248" s="1960" t="s">
        <v>490</v>
      </c>
      <c r="C248" s="1961"/>
      <c r="D248" s="1961"/>
      <c r="E248" s="1961"/>
      <c r="F248" s="1961"/>
      <c r="G248" s="288" t="s">
        <v>485</v>
      </c>
      <c r="H248" s="289"/>
      <c r="I248" s="286"/>
      <c r="J248" s="286"/>
      <c r="K248" s="286"/>
      <c r="L248" s="286"/>
      <c r="M248" s="287"/>
      <c r="N248" s="10" t="s">
        <v>491</v>
      </c>
      <c r="P248" s="35"/>
      <c r="Q248" s="35"/>
      <c r="R248" s="35"/>
      <c r="S248"/>
      <c r="T248"/>
    </row>
    <row r="249" spans="2:28" ht="15" customHeight="1">
      <c r="B249" s="1960" t="s">
        <v>492</v>
      </c>
      <c r="C249" s="1961"/>
      <c r="D249" s="1961"/>
      <c r="E249" s="1961"/>
      <c r="F249" s="1961"/>
      <c r="G249" s="288" t="s">
        <v>485</v>
      </c>
      <c r="H249" s="289"/>
      <c r="I249" s="286"/>
      <c r="J249" s="286"/>
      <c r="K249" s="286"/>
      <c r="L249" s="286"/>
      <c r="M249" s="287"/>
      <c r="N249" s="10" t="s">
        <v>491</v>
      </c>
      <c r="P249" s="35"/>
      <c r="Q249" s="35"/>
      <c r="R249" s="35"/>
      <c r="S249"/>
      <c r="T249"/>
    </row>
    <row r="250" spans="2:28" ht="15" customHeight="1">
      <c r="B250" s="1960" t="s">
        <v>493</v>
      </c>
      <c r="C250" s="1961"/>
      <c r="D250" s="1961"/>
      <c r="E250" s="1961"/>
      <c r="F250" s="1961"/>
      <c r="G250" s="288"/>
      <c r="H250" s="283" t="s">
        <v>41</v>
      </c>
      <c r="I250" s="286"/>
      <c r="J250" s="286"/>
      <c r="K250" s="286"/>
      <c r="L250" s="286"/>
      <c r="M250" s="287"/>
      <c r="P250" s="35"/>
      <c r="Q250" s="35"/>
      <c r="R250" s="35"/>
      <c r="S250"/>
      <c r="T250"/>
    </row>
    <row r="251" spans="2:28" ht="15" customHeight="1">
      <c r="B251" s="1960" t="s">
        <v>494</v>
      </c>
      <c r="C251" s="1961"/>
      <c r="D251" s="1961"/>
      <c r="E251" s="1961"/>
      <c r="F251" s="1961"/>
      <c r="G251" s="288" t="s">
        <v>190</v>
      </c>
      <c r="H251" s="289"/>
      <c r="I251" s="286"/>
      <c r="J251" s="286"/>
      <c r="K251" s="286"/>
      <c r="L251" s="286"/>
      <c r="M251" s="287"/>
      <c r="P251" s="35"/>
      <c r="Q251" s="35"/>
      <c r="R251" s="35"/>
      <c r="S251"/>
      <c r="T251"/>
    </row>
    <row r="252" spans="2:28" ht="15" customHeight="1">
      <c r="B252" s="1960" t="s">
        <v>495</v>
      </c>
      <c r="C252" s="1961"/>
      <c r="D252" s="1961"/>
      <c r="E252" s="1961"/>
      <c r="F252" s="1961"/>
      <c r="G252" s="288"/>
      <c r="H252" s="289"/>
      <c r="I252" s="286"/>
      <c r="J252" s="286"/>
      <c r="K252" s="286"/>
      <c r="L252" s="286"/>
      <c r="M252" s="287"/>
      <c r="P252" s="35"/>
      <c r="Q252" s="35"/>
      <c r="R252" s="35"/>
      <c r="S252"/>
      <c r="T252"/>
    </row>
    <row r="253" spans="2:28" ht="15" customHeight="1">
      <c r="B253" s="1997" t="s">
        <v>496</v>
      </c>
      <c r="C253" s="1998"/>
      <c r="D253" s="1998"/>
      <c r="E253" s="1998"/>
      <c r="F253" s="1998"/>
      <c r="G253" s="1998"/>
      <c r="H253" s="1998"/>
      <c r="I253" s="286"/>
      <c r="J253" s="286"/>
      <c r="K253" s="286"/>
      <c r="L253" s="286"/>
      <c r="M253" s="287"/>
      <c r="P253" s="35"/>
      <c r="Q253" s="35"/>
      <c r="R253" s="35"/>
      <c r="S253"/>
      <c r="T253"/>
    </row>
    <row r="254" spans="2:28" ht="15" customHeight="1">
      <c r="B254" s="290"/>
      <c r="C254" s="291"/>
      <c r="D254" s="291"/>
      <c r="E254" s="292"/>
      <c r="F254" s="292"/>
      <c r="G254" s="292"/>
      <c r="H254" s="293" t="s">
        <v>497</v>
      </c>
      <c r="I254" s="293" t="s">
        <v>498</v>
      </c>
      <c r="J254" s="286"/>
      <c r="K254" s="286"/>
      <c r="L254" s="286"/>
      <c r="M254" s="287"/>
      <c r="P254" s="35"/>
      <c r="Q254" s="35"/>
      <c r="R254" s="35"/>
      <c r="S254"/>
      <c r="T254"/>
    </row>
    <row r="255" spans="2:28" ht="15" customHeight="1">
      <c r="B255" s="1960" t="s">
        <v>499</v>
      </c>
      <c r="C255" s="1961"/>
      <c r="D255" s="1961"/>
      <c r="E255" s="1961"/>
      <c r="F255" s="1961"/>
      <c r="G255" s="294" t="s">
        <v>500</v>
      </c>
      <c r="H255" s="295"/>
      <c r="I255" s="295"/>
      <c r="J255" s="286"/>
      <c r="K255" s="286"/>
      <c r="L255" s="286"/>
      <c r="M255" s="287"/>
      <c r="N255" s="10" t="s">
        <v>501</v>
      </c>
      <c r="P255" s="35"/>
      <c r="Q255" s="35"/>
      <c r="R255" s="35"/>
      <c r="S255"/>
      <c r="T255"/>
    </row>
    <row r="256" spans="2:28" ht="15" customHeight="1">
      <c r="B256" s="1960" t="s">
        <v>502</v>
      </c>
      <c r="C256" s="1961"/>
      <c r="D256" s="1961"/>
      <c r="E256" s="1961"/>
      <c r="F256" s="1961"/>
      <c r="G256" s="294" t="s">
        <v>500</v>
      </c>
      <c r="H256" s="295"/>
      <c r="I256" s="295"/>
      <c r="J256" s="286"/>
      <c r="K256" s="286"/>
      <c r="L256" s="286"/>
      <c r="M256" s="287"/>
      <c r="P256" s="35"/>
      <c r="Q256" s="35"/>
      <c r="R256" s="35"/>
      <c r="S256"/>
      <c r="T256"/>
    </row>
    <row r="257" spans="2:20" ht="15" customHeight="1">
      <c r="B257" s="1960" t="s">
        <v>503</v>
      </c>
      <c r="C257" s="1961"/>
      <c r="D257" s="1961"/>
      <c r="E257" s="1961"/>
      <c r="F257" s="1961"/>
      <c r="G257" s="294" t="s">
        <v>504</v>
      </c>
      <c r="H257" s="295"/>
      <c r="I257" s="295"/>
      <c r="J257" s="286"/>
      <c r="K257" s="286"/>
      <c r="L257" s="286"/>
      <c r="M257" s="287"/>
      <c r="P257" s="35"/>
      <c r="Q257" s="35"/>
      <c r="R257" s="35"/>
      <c r="S257"/>
      <c r="T257"/>
    </row>
    <row r="258" spans="2:20" ht="15" customHeight="1">
      <c r="B258" s="1960" t="s">
        <v>505</v>
      </c>
      <c r="C258" s="1961"/>
      <c r="D258" s="1961"/>
      <c r="E258" s="1961"/>
      <c r="F258" s="1961"/>
      <c r="G258" s="294" t="s">
        <v>506</v>
      </c>
      <c r="H258" s="225"/>
      <c r="I258" s="225"/>
      <c r="J258" s="75"/>
      <c r="K258" s="75"/>
      <c r="L258" s="75"/>
      <c r="M258" s="233"/>
      <c r="P258" s="35"/>
      <c r="Q258" s="35"/>
      <c r="R258" s="35"/>
      <c r="S258"/>
      <c r="T258"/>
    </row>
    <row r="259" spans="2:20" ht="15" customHeight="1">
      <c r="B259" s="1994" t="s">
        <v>507</v>
      </c>
      <c r="C259" s="1995"/>
      <c r="D259" s="1995"/>
      <c r="E259" s="1995"/>
      <c r="F259" s="1995"/>
      <c r="G259" s="1995"/>
      <c r="H259" s="1995"/>
      <c r="I259" s="1995"/>
      <c r="J259" s="1995"/>
      <c r="K259" s="1995"/>
      <c r="L259" s="1995"/>
      <c r="M259" s="1996"/>
      <c r="P259" s="35"/>
      <c r="Q259" s="35"/>
      <c r="R259" s="35"/>
      <c r="S259"/>
      <c r="T259"/>
    </row>
    <row r="260" spans="2:20" ht="15" customHeight="1">
      <c r="B260" s="1991" t="s">
        <v>508</v>
      </c>
      <c r="C260" s="1992"/>
      <c r="D260" s="1992"/>
      <c r="E260" s="1992"/>
      <c r="F260" s="1993"/>
      <c r="G260" s="288"/>
      <c r="H260" s="289"/>
      <c r="I260" s="286"/>
      <c r="J260" s="286"/>
      <c r="K260" s="286"/>
      <c r="L260" s="286"/>
      <c r="M260" s="287"/>
      <c r="P260" s="35"/>
      <c r="Q260" s="35"/>
      <c r="R260" s="35"/>
      <c r="S260"/>
      <c r="T260"/>
    </row>
    <row r="261" spans="2:20" ht="15" customHeight="1">
      <c r="B261" s="1991" t="s">
        <v>483</v>
      </c>
      <c r="C261" s="1992"/>
      <c r="D261" s="1992"/>
      <c r="E261" s="1992"/>
      <c r="F261" s="1993"/>
      <c r="G261" s="288" t="s">
        <v>190</v>
      </c>
      <c r="H261" s="289"/>
      <c r="I261" s="286"/>
      <c r="J261" s="286"/>
      <c r="K261" s="286"/>
      <c r="L261" s="286"/>
      <c r="M261" s="287"/>
      <c r="P261" s="35"/>
      <c r="Q261" s="35"/>
      <c r="R261" s="35"/>
      <c r="S261"/>
      <c r="T261"/>
    </row>
    <row r="262" spans="2:20" ht="15" customHeight="1">
      <c r="B262" s="1991" t="s">
        <v>509</v>
      </c>
      <c r="C262" s="1992"/>
      <c r="D262" s="1992"/>
      <c r="E262" s="1992"/>
      <c r="F262" s="1993"/>
      <c r="G262" s="288" t="s">
        <v>190</v>
      </c>
      <c r="H262" s="289"/>
      <c r="I262" s="286"/>
      <c r="J262" s="286"/>
      <c r="K262" s="286"/>
      <c r="L262" s="286"/>
      <c r="M262" s="287"/>
      <c r="P262" s="35"/>
      <c r="Q262" s="35"/>
      <c r="R262" s="35"/>
      <c r="S262"/>
      <c r="T262"/>
    </row>
    <row r="263" spans="2:20" ht="15" customHeight="1">
      <c r="B263" s="1991" t="s">
        <v>510</v>
      </c>
      <c r="C263" s="1992"/>
      <c r="D263" s="1992"/>
      <c r="E263" s="1992"/>
      <c r="F263" s="1993"/>
      <c r="G263" s="288"/>
      <c r="H263" s="289"/>
      <c r="I263" s="296"/>
      <c r="J263" s="296"/>
      <c r="K263" s="75"/>
      <c r="L263" s="75"/>
      <c r="M263" s="233"/>
      <c r="P263" s="35"/>
      <c r="Q263" s="35"/>
      <c r="R263" s="35"/>
      <c r="S263"/>
      <c r="T263"/>
    </row>
    <row r="264" spans="2:20">
      <c r="B264" s="1991" t="s">
        <v>511</v>
      </c>
      <c r="C264" s="1992"/>
      <c r="D264" s="1992"/>
      <c r="E264" s="1992"/>
      <c r="F264" s="1993"/>
      <c r="G264" s="288" t="s">
        <v>485</v>
      </c>
      <c r="H264" s="289"/>
      <c r="I264" s="12"/>
      <c r="J264" s="12"/>
      <c r="K264" s="13"/>
      <c r="L264" s="13"/>
      <c r="M264" s="233"/>
      <c r="P264" s="35"/>
      <c r="Q264" s="35"/>
      <c r="R264" s="35"/>
      <c r="S264"/>
      <c r="T264"/>
    </row>
    <row r="265" spans="2:20" ht="15" customHeight="1">
      <c r="B265" s="1991" t="s">
        <v>512</v>
      </c>
      <c r="C265" s="1992"/>
      <c r="D265" s="1992"/>
      <c r="E265" s="1992"/>
      <c r="F265" s="1993"/>
      <c r="G265" s="288" t="s">
        <v>190</v>
      </c>
      <c r="H265" s="289"/>
      <c r="I265" s="12"/>
      <c r="J265" s="12"/>
      <c r="K265" s="13"/>
      <c r="L265" s="13"/>
      <c r="M265" s="233"/>
      <c r="P265" s="35"/>
      <c r="Q265" s="35"/>
      <c r="R265" s="35"/>
      <c r="S265"/>
      <c r="T265"/>
    </row>
    <row r="266" spans="2:20" ht="15" customHeight="1">
      <c r="B266" s="1991" t="s">
        <v>513</v>
      </c>
      <c r="C266" s="1992"/>
      <c r="D266" s="1992"/>
      <c r="E266" s="1992"/>
      <c r="F266" s="1993"/>
      <c r="G266" s="288" t="s">
        <v>514</v>
      </c>
      <c r="H266" s="289"/>
      <c r="I266" s="12"/>
      <c r="J266" s="12"/>
      <c r="K266" s="13"/>
      <c r="L266" s="13"/>
      <c r="M266" s="233"/>
      <c r="N266" s="10" t="s">
        <v>515</v>
      </c>
      <c r="P266" s="35"/>
      <c r="Q266" s="35"/>
      <c r="R266" s="35"/>
      <c r="S266"/>
      <c r="T266"/>
    </row>
    <row r="267" spans="2:20" ht="15" customHeight="1">
      <c r="B267" s="1991" t="s">
        <v>516</v>
      </c>
      <c r="C267" s="1992"/>
      <c r="D267" s="1992"/>
      <c r="E267" s="1992"/>
      <c r="F267" s="1993"/>
      <c r="G267" s="288" t="s">
        <v>517</v>
      </c>
      <c r="H267" s="289"/>
      <c r="I267" s="14"/>
      <c r="J267" s="14"/>
      <c r="K267" s="13"/>
      <c r="L267" s="13"/>
      <c r="M267" s="233"/>
    </row>
    <row r="268" spans="2:20" ht="15" customHeight="1">
      <c r="B268" s="1991" t="s">
        <v>518</v>
      </c>
      <c r="C268" s="1992"/>
      <c r="D268" s="1992"/>
      <c r="E268" s="1992"/>
      <c r="F268" s="1993"/>
      <c r="G268" s="288" t="s">
        <v>504</v>
      </c>
      <c r="H268" s="289"/>
      <c r="I268" s="12"/>
      <c r="J268" s="12"/>
      <c r="K268" s="13"/>
      <c r="L268" s="13"/>
      <c r="M268" s="233"/>
    </row>
    <row r="269" spans="2:20" ht="15" customHeight="1">
      <c r="B269" s="1994" t="s">
        <v>519</v>
      </c>
      <c r="C269" s="1995"/>
      <c r="D269" s="1995"/>
      <c r="E269" s="1995"/>
      <c r="F269" s="1995"/>
      <c r="G269" s="1995"/>
      <c r="H269" s="1995"/>
      <c r="I269" s="1995"/>
      <c r="J269" s="1995"/>
      <c r="K269" s="1995"/>
      <c r="L269" s="1995"/>
      <c r="M269" s="1996"/>
    </row>
    <row r="270" spans="2:20" ht="15" customHeight="1">
      <c r="B270" s="1987" t="s">
        <v>520</v>
      </c>
      <c r="C270" s="1988"/>
      <c r="D270" s="1988"/>
      <c r="E270" s="1988"/>
      <c r="F270" s="1988"/>
      <c r="G270" s="1988"/>
      <c r="H270" s="1988"/>
      <c r="I270" s="283" t="s">
        <v>41</v>
      </c>
      <c r="J270" s="286"/>
      <c r="K270" s="286"/>
      <c r="L270" s="286"/>
      <c r="M270" s="287"/>
    </row>
    <row r="271" spans="2:20" ht="15" customHeight="1">
      <c r="B271" s="1960" t="s">
        <v>521</v>
      </c>
      <c r="C271" s="1961"/>
      <c r="D271" s="1961"/>
      <c r="E271" s="1961"/>
      <c r="F271" s="1961"/>
      <c r="G271" s="288" t="s">
        <v>485</v>
      </c>
      <c r="H271" s="289"/>
      <c r="I271" s="286"/>
      <c r="J271" s="286"/>
      <c r="K271" s="286"/>
      <c r="L271" s="286"/>
      <c r="M271" s="287"/>
    </row>
    <row r="272" spans="2:20" ht="15" customHeight="1">
      <c r="B272" s="1960" t="s">
        <v>522</v>
      </c>
      <c r="C272" s="1961"/>
      <c r="D272" s="1961"/>
      <c r="E272" s="1961"/>
      <c r="F272" s="1961"/>
      <c r="G272" s="288"/>
      <c r="H272" s="289"/>
      <c r="I272" s="286"/>
      <c r="J272" s="286"/>
      <c r="K272" s="286"/>
      <c r="L272" s="286"/>
      <c r="M272" s="287"/>
      <c r="N272" s="10" t="s">
        <v>523</v>
      </c>
    </row>
    <row r="273" spans="2:14" ht="15" customHeight="1">
      <c r="B273" s="1960" t="s">
        <v>524</v>
      </c>
      <c r="C273" s="1961"/>
      <c r="D273" s="1961"/>
      <c r="E273" s="1961"/>
      <c r="F273" s="1961"/>
      <c r="G273" s="288" t="s">
        <v>525</v>
      </c>
      <c r="H273" s="289"/>
      <c r="I273" s="286"/>
      <c r="J273" s="286"/>
      <c r="K273" s="286"/>
      <c r="L273" s="286"/>
      <c r="M273" s="287"/>
      <c r="N273" s="10" t="s">
        <v>526</v>
      </c>
    </row>
    <row r="274" spans="2:14" ht="15" customHeight="1">
      <c r="B274" s="1960" t="s">
        <v>527</v>
      </c>
      <c r="C274" s="1961"/>
      <c r="D274" s="1961"/>
      <c r="E274" s="1961"/>
      <c r="F274" s="1961"/>
      <c r="G274" s="288"/>
      <c r="H274" s="289"/>
      <c r="I274" s="286"/>
      <c r="J274" s="286"/>
      <c r="K274" s="286"/>
      <c r="L274" s="286"/>
      <c r="M274" s="287"/>
    </row>
    <row r="275" spans="2:14" ht="15" customHeight="1">
      <c r="B275" s="1960" t="s">
        <v>528</v>
      </c>
      <c r="C275" s="1961"/>
      <c r="D275" s="1961"/>
      <c r="E275" s="1961"/>
      <c r="F275" s="1961"/>
      <c r="G275" s="288"/>
      <c r="H275" s="289"/>
      <c r="I275" s="286"/>
      <c r="J275" s="286"/>
      <c r="K275" s="286"/>
      <c r="L275" s="286"/>
      <c r="M275" s="287"/>
      <c r="N275" s="10" t="s">
        <v>529</v>
      </c>
    </row>
    <row r="276" spans="2:14" ht="15" customHeight="1">
      <c r="B276" s="1960" t="s">
        <v>530</v>
      </c>
      <c r="C276" s="1961"/>
      <c r="D276" s="1961"/>
      <c r="E276" s="1961"/>
      <c r="F276" s="1961"/>
      <c r="G276" s="288" t="s">
        <v>108</v>
      </c>
      <c r="H276" s="289"/>
      <c r="I276" s="286"/>
      <c r="J276" s="286"/>
      <c r="K276" s="286"/>
      <c r="L276" s="286"/>
      <c r="M276" s="287"/>
    </row>
    <row r="277" spans="2:14" ht="24.75" customHeight="1">
      <c r="B277" s="1960" t="s">
        <v>531</v>
      </c>
      <c r="C277" s="1961"/>
      <c r="D277" s="1961"/>
      <c r="E277" s="1961"/>
      <c r="F277" s="1961"/>
      <c r="G277" s="288" t="s">
        <v>53</v>
      </c>
      <c r="H277" s="289"/>
      <c r="I277" s="286"/>
      <c r="J277" s="286"/>
      <c r="K277" s="286"/>
      <c r="L277" s="286"/>
      <c r="M277" s="287"/>
      <c r="N277" s="10" t="s">
        <v>529</v>
      </c>
    </row>
    <row r="278" spans="2:14" ht="15" customHeight="1">
      <c r="B278" s="1987" t="s">
        <v>532</v>
      </c>
      <c r="C278" s="1988"/>
      <c r="D278" s="1988"/>
      <c r="E278" s="1988"/>
      <c r="F278" s="1988"/>
      <c r="G278" s="1988"/>
      <c r="H278" s="1988"/>
      <c r="I278" s="283" t="s">
        <v>41</v>
      </c>
      <c r="J278" s="286"/>
      <c r="K278" s="286"/>
      <c r="L278" s="286"/>
      <c r="M278" s="287"/>
      <c r="N278" s="10" t="s">
        <v>529</v>
      </c>
    </row>
    <row r="279" spans="2:14" ht="15" customHeight="1">
      <c r="B279" s="1960" t="s">
        <v>528</v>
      </c>
      <c r="C279" s="1961"/>
      <c r="D279" s="1961"/>
      <c r="E279" s="1961"/>
      <c r="F279" s="1961"/>
      <c r="G279" s="288"/>
      <c r="H279" s="289"/>
      <c r="I279" s="286"/>
      <c r="J279" s="286"/>
      <c r="K279" s="286"/>
      <c r="L279" s="286"/>
      <c r="M279" s="287"/>
    </row>
    <row r="280" spans="2:14" ht="15" customHeight="1">
      <c r="B280" s="1960" t="s">
        <v>530</v>
      </c>
      <c r="C280" s="1961"/>
      <c r="D280" s="1961"/>
      <c r="E280" s="1961"/>
      <c r="F280" s="1961"/>
      <c r="G280" s="288" t="s">
        <v>108</v>
      </c>
      <c r="H280" s="289"/>
      <c r="I280" s="286"/>
      <c r="J280" s="286"/>
      <c r="K280" s="286"/>
      <c r="L280" s="286"/>
      <c r="M280" s="287"/>
    </row>
    <row r="281" spans="2:14" ht="15" customHeight="1">
      <c r="B281" s="1960" t="s">
        <v>531</v>
      </c>
      <c r="C281" s="1961"/>
      <c r="D281" s="1961"/>
      <c r="E281" s="1961"/>
      <c r="F281" s="1961"/>
      <c r="G281" s="288" t="s">
        <v>53</v>
      </c>
      <c r="H281" s="289"/>
      <c r="I281" s="286"/>
      <c r="J281" s="286"/>
      <c r="K281" s="286"/>
      <c r="L281" s="286"/>
      <c r="M281" s="287"/>
      <c r="N281" s="10" t="s">
        <v>526</v>
      </c>
    </row>
    <row r="282" spans="2:14" ht="15" customHeight="1">
      <c r="B282" s="1987" t="s">
        <v>533</v>
      </c>
      <c r="C282" s="1988"/>
      <c r="D282" s="1988"/>
      <c r="E282" s="1988"/>
      <c r="F282" s="1988"/>
      <c r="G282" s="1988"/>
      <c r="H282" s="1988"/>
      <c r="I282" s="286"/>
      <c r="J282" s="286"/>
      <c r="K282" s="286"/>
      <c r="L282" s="286"/>
      <c r="M282" s="287"/>
    </row>
    <row r="283" spans="2:14" ht="15" customHeight="1">
      <c r="B283" s="1960" t="s">
        <v>534</v>
      </c>
      <c r="C283" s="1961"/>
      <c r="D283" s="1961"/>
      <c r="E283" s="1961"/>
      <c r="F283" s="1961"/>
      <c r="G283" s="288" t="s">
        <v>535</v>
      </c>
      <c r="H283" s="289"/>
      <c r="I283" s="286"/>
      <c r="J283" s="286"/>
      <c r="K283" s="286"/>
      <c r="L283" s="286"/>
      <c r="M283" s="287"/>
    </row>
    <row r="284" spans="2:14" ht="15" customHeight="1">
      <c r="B284" s="1960" t="s">
        <v>536</v>
      </c>
      <c r="C284" s="1961"/>
      <c r="D284" s="1961"/>
      <c r="E284" s="1961"/>
      <c r="F284" s="1961"/>
      <c r="G284" s="288" t="s">
        <v>506</v>
      </c>
      <c r="H284" s="289"/>
      <c r="I284" s="286"/>
      <c r="J284" s="286"/>
      <c r="K284" s="286"/>
      <c r="L284" s="286"/>
      <c r="M284" s="287"/>
    </row>
    <row r="285" spans="2:14" ht="15" customHeight="1">
      <c r="B285" s="1960" t="s">
        <v>537</v>
      </c>
      <c r="C285" s="1961"/>
      <c r="D285" s="1961"/>
      <c r="E285" s="1961"/>
      <c r="F285" s="1961"/>
      <c r="G285" s="288" t="s">
        <v>506</v>
      </c>
      <c r="H285" s="289"/>
      <c r="I285" s="286"/>
      <c r="J285" s="286"/>
      <c r="K285" s="286"/>
      <c r="L285" s="286"/>
      <c r="M285" s="287"/>
    </row>
    <row r="286" spans="2:14" ht="15" customHeight="1">
      <c r="B286" s="1960" t="s">
        <v>538</v>
      </c>
      <c r="C286" s="1961"/>
      <c r="D286" s="1961"/>
      <c r="E286" s="1961"/>
      <c r="F286" s="1961"/>
      <c r="G286" s="288" t="s">
        <v>539</v>
      </c>
      <c r="H286" s="289"/>
      <c r="I286" s="12"/>
      <c r="J286" s="12"/>
      <c r="K286" s="13"/>
      <c r="L286" s="13"/>
      <c r="M286" s="233"/>
    </row>
    <row r="287" spans="2:14" ht="15" customHeight="1" thickBot="1">
      <c r="B287" s="1989" t="s">
        <v>540</v>
      </c>
      <c r="C287" s="1990"/>
      <c r="D287" s="1990"/>
      <c r="E287" s="1990"/>
      <c r="F287" s="1990"/>
      <c r="G287" s="297" t="s">
        <v>190</v>
      </c>
      <c r="H287" s="298"/>
      <c r="I287" s="299"/>
      <c r="J287" s="299"/>
      <c r="K287" s="300"/>
      <c r="L287" s="300"/>
      <c r="M287" s="301"/>
    </row>
    <row r="288" spans="2:14" ht="15" customHeight="1">
      <c r="B288" s="1980" t="s">
        <v>541</v>
      </c>
      <c r="C288" s="1981"/>
      <c r="D288" s="1981"/>
      <c r="E288" s="1981"/>
      <c r="F288" s="1981"/>
      <c r="G288" s="1981"/>
      <c r="H288" s="1981"/>
      <c r="I288" s="1981"/>
      <c r="J288" s="1981"/>
      <c r="K288" s="1981"/>
      <c r="L288" s="1981"/>
      <c r="M288" s="1982"/>
    </row>
    <row r="289" spans="2:20" ht="15" customHeight="1">
      <c r="B289" s="1983" t="s">
        <v>542</v>
      </c>
      <c r="C289" s="1983"/>
      <c r="D289" s="1984" t="s">
        <v>543</v>
      </c>
      <c r="E289" s="1985"/>
      <c r="F289" s="1986"/>
      <c r="G289" s="302" t="s">
        <v>544</v>
      </c>
      <c r="H289" s="302"/>
      <c r="I289" s="302"/>
      <c r="K289" s="1984" t="s">
        <v>545</v>
      </c>
      <c r="L289" s="1985"/>
      <c r="M289" s="1986"/>
    </row>
    <row r="290" spans="2:20" ht="15" customHeight="1">
      <c r="B290" s="303" t="s">
        <v>546</v>
      </c>
      <c r="C290" s="283" t="s">
        <v>41</v>
      </c>
      <c r="D290" s="303" t="s">
        <v>547</v>
      </c>
      <c r="E290" s="283" t="s">
        <v>41</v>
      </c>
      <c r="G290" s="304" t="s">
        <v>548</v>
      </c>
      <c r="H290" s="283" t="s">
        <v>41</v>
      </c>
      <c r="I290" s="304"/>
      <c r="K290" s="1972" t="s">
        <v>470</v>
      </c>
      <c r="L290" s="1972"/>
      <c r="M290" s="283" t="s">
        <v>41</v>
      </c>
    </row>
    <row r="291" spans="2:20" ht="15" customHeight="1">
      <c r="B291" s="303" t="s">
        <v>549</v>
      </c>
      <c r="C291" s="283" t="s">
        <v>41</v>
      </c>
      <c r="D291" s="303" t="s">
        <v>550</v>
      </c>
      <c r="E291" s="283" t="s">
        <v>41</v>
      </c>
      <c r="G291" s="304" t="s">
        <v>548</v>
      </c>
      <c r="H291" s="283" t="s">
        <v>41</v>
      </c>
      <c r="I291" s="304"/>
      <c r="K291" s="1972" t="s">
        <v>473</v>
      </c>
      <c r="L291" s="1972"/>
      <c r="M291" s="283" t="s">
        <v>41</v>
      </c>
      <c r="P291" s="35"/>
      <c r="Q291" s="35"/>
      <c r="R291" s="35"/>
      <c r="S291"/>
      <c r="T291"/>
    </row>
    <row r="292" spans="2:20" ht="15" customHeight="1">
      <c r="B292" s="303" t="s">
        <v>551</v>
      </c>
      <c r="C292" s="283" t="s">
        <v>41</v>
      </c>
      <c r="D292" s="303" t="s">
        <v>552</v>
      </c>
      <c r="E292" s="283" t="s">
        <v>41</v>
      </c>
      <c r="G292" s="304" t="s">
        <v>548</v>
      </c>
      <c r="H292" s="283" t="s">
        <v>41</v>
      </c>
      <c r="I292" s="304"/>
      <c r="K292" s="1972" t="s">
        <v>476</v>
      </c>
      <c r="L292" s="1972"/>
      <c r="M292" s="283" t="s">
        <v>41</v>
      </c>
      <c r="P292" s="35"/>
      <c r="Q292" s="35"/>
      <c r="R292" s="35"/>
      <c r="S292"/>
      <c r="T292"/>
    </row>
    <row r="293" spans="2:20" ht="15" customHeight="1">
      <c r="B293" s="303" t="s">
        <v>553</v>
      </c>
      <c r="C293" s="283" t="s">
        <v>41</v>
      </c>
      <c r="D293" s="303" t="s">
        <v>554</v>
      </c>
      <c r="E293" s="283" t="s">
        <v>41</v>
      </c>
      <c r="G293" s="304" t="s">
        <v>548</v>
      </c>
      <c r="H293" s="285" t="s">
        <v>41</v>
      </c>
      <c r="I293" s="304"/>
      <c r="K293" s="1973"/>
      <c r="L293" s="1974"/>
      <c r="M293" s="1975"/>
      <c r="N293" s="10" t="s">
        <v>555</v>
      </c>
      <c r="P293" s="35"/>
      <c r="Q293" s="35"/>
      <c r="R293" s="35"/>
      <c r="S293"/>
      <c r="T293"/>
    </row>
    <row r="294" spans="2:20" ht="15" customHeight="1">
      <c r="B294" s="305"/>
      <c r="C294" s="305"/>
      <c r="D294" s="303" t="s">
        <v>556</v>
      </c>
      <c r="E294" s="283" t="s">
        <v>41</v>
      </c>
      <c r="F294" s="305"/>
      <c r="G294" s="306"/>
      <c r="I294" s="307"/>
      <c r="J294" s="307"/>
      <c r="K294" s="308"/>
      <c r="L294" s="308"/>
      <c r="P294" s="35"/>
      <c r="Q294" s="35"/>
      <c r="R294" s="35"/>
      <c r="S294"/>
      <c r="T294"/>
    </row>
    <row r="295" spans="2:20" ht="15" customHeight="1">
      <c r="B295" s="305"/>
      <c r="C295" s="305"/>
      <c r="D295" s="309" t="s">
        <v>557</v>
      </c>
      <c r="E295" s="305"/>
      <c r="F295" s="305"/>
      <c r="G295" s="1976" t="s">
        <v>558</v>
      </c>
      <c r="H295" s="1977"/>
      <c r="I295" s="1977"/>
      <c r="J295" s="1977"/>
      <c r="K295" s="1977"/>
      <c r="L295" s="1977"/>
      <c r="M295" s="1977"/>
      <c r="P295" s="35"/>
      <c r="Q295" s="35"/>
      <c r="R295" s="35"/>
      <c r="S295"/>
      <c r="T295"/>
    </row>
    <row r="296" spans="2:20" ht="15" customHeight="1">
      <c r="B296" s="305"/>
      <c r="C296" s="305"/>
      <c r="D296" s="309" t="s">
        <v>559</v>
      </c>
      <c r="E296" s="305"/>
      <c r="F296" s="305"/>
      <c r="G296" s="1978" t="s">
        <v>560</v>
      </c>
      <c r="H296" s="1979"/>
      <c r="I296" s="283" t="s">
        <v>41</v>
      </c>
      <c r="J296" s="307"/>
      <c r="K296" s="308"/>
      <c r="L296" s="308"/>
      <c r="P296" s="35"/>
      <c r="Q296" s="35"/>
      <c r="R296" s="35"/>
      <c r="S296"/>
      <c r="T296"/>
    </row>
    <row r="297" spans="2:20" ht="15" customHeight="1" thickBot="1">
      <c r="B297" s="305"/>
      <c r="C297" s="305"/>
      <c r="D297" s="305"/>
      <c r="E297" s="305"/>
      <c r="F297" s="305"/>
      <c r="G297" s="1978" t="s">
        <v>561</v>
      </c>
      <c r="H297" s="1979"/>
      <c r="I297" s="283" t="s">
        <v>41</v>
      </c>
      <c r="J297" s="307"/>
      <c r="K297" s="308"/>
      <c r="L297" s="308"/>
      <c r="P297" s="35"/>
      <c r="Q297" s="35"/>
      <c r="R297" s="35"/>
      <c r="S297"/>
      <c r="T297"/>
    </row>
    <row r="298" spans="2:20" ht="15" customHeight="1">
      <c r="B298" s="1980" t="s">
        <v>562</v>
      </c>
      <c r="C298" s="1981"/>
      <c r="D298" s="1981"/>
      <c r="E298" s="1981"/>
      <c r="F298" s="1981"/>
      <c r="G298" s="1981"/>
      <c r="H298" s="1981"/>
      <c r="I298" s="1981"/>
      <c r="J298" s="1981"/>
      <c r="K298" s="1981"/>
      <c r="L298" s="1981"/>
      <c r="M298" s="1982"/>
      <c r="P298" s="35"/>
      <c r="Q298" s="35"/>
      <c r="R298" s="35"/>
      <c r="S298"/>
      <c r="T298"/>
    </row>
    <row r="299" spans="2:20" ht="15" customHeight="1">
      <c r="B299" s="1964" t="s">
        <v>563</v>
      </c>
      <c r="C299" s="1965"/>
      <c r="D299" s="1965"/>
      <c r="E299" s="1965"/>
      <c r="F299" s="1965"/>
      <c r="G299" s="1965"/>
      <c r="H299" s="1965"/>
      <c r="I299" s="1965"/>
      <c r="J299" s="75"/>
      <c r="K299" s="1970"/>
      <c r="L299" s="1970"/>
      <c r="M299" s="1970"/>
      <c r="P299" s="35"/>
      <c r="Q299" s="35"/>
      <c r="R299" s="35"/>
      <c r="S299"/>
      <c r="T299"/>
    </row>
    <row r="300" spans="2:20" ht="15" customHeight="1">
      <c r="B300" s="1952" t="s">
        <v>564</v>
      </c>
      <c r="C300" s="1962"/>
      <c r="D300" s="1968" t="s">
        <v>442</v>
      </c>
      <c r="E300" s="1968"/>
      <c r="F300" s="1971" t="s">
        <v>434</v>
      </c>
      <c r="G300" s="1971"/>
      <c r="H300" s="1971" t="s">
        <v>433</v>
      </c>
      <c r="I300" s="1971"/>
      <c r="J300" s="75"/>
      <c r="K300" s="1969"/>
      <c r="L300" s="1969"/>
      <c r="M300" s="310"/>
      <c r="P300" s="35"/>
      <c r="Q300" s="35"/>
      <c r="R300" s="35"/>
      <c r="S300"/>
      <c r="T300"/>
    </row>
    <row r="301" spans="2:20" ht="15" customHeight="1">
      <c r="B301" s="1952" t="s">
        <v>565</v>
      </c>
      <c r="C301" s="1962"/>
      <c r="D301" s="1968"/>
      <c r="E301" s="1968"/>
      <c r="F301" s="1968"/>
      <c r="G301" s="1968"/>
      <c r="H301" s="1968"/>
      <c r="I301" s="1968"/>
      <c r="J301" s="75"/>
      <c r="K301" s="1969"/>
      <c r="L301" s="1969"/>
      <c r="M301" s="310"/>
      <c r="P301" s="35"/>
      <c r="Q301" s="35"/>
      <c r="R301" s="35"/>
      <c r="S301"/>
      <c r="T301"/>
    </row>
    <row r="302" spans="2:20" ht="15" customHeight="1">
      <c r="B302" s="1952" t="s">
        <v>462</v>
      </c>
      <c r="C302" s="1953"/>
      <c r="D302" s="1968"/>
      <c r="E302" s="1968"/>
      <c r="F302" s="1968"/>
      <c r="G302" s="1968"/>
      <c r="H302" s="1968"/>
      <c r="I302" s="1968"/>
      <c r="J302" s="75"/>
      <c r="K302" s="1969"/>
      <c r="L302" s="1969"/>
      <c r="M302" s="310"/>
    </row>
    <row r="303" spans="2:20" ht="15" customHeight="1">
      <c r="B303" s="1952" t="s">
        <v>169</v>
      </c>
      <c r="C303" s="1962"/>
      <c r="D303" s="1966"/>
      <c r="E303" s="1966"/>
      <c r="F303" s="1966"/>
      <c r="G303" s="1966"/>
      <c r="H303" s="1966"/>
      <c r="I303" s="1966"/>
      <c r="J303" s="75"/>
      <c r="K303" s="1967"/>
      <c r="L303" s="1967"/>
      <c r="M303" s="1967"/>
    </row>
    <row r="304" spans="2:20" ht="15" customHeight="1">
      <c r="B304" s="1964" t="s">
        <v>442</v>
      </c>
      <c r="C304" s="1965"/>
      <c r="D304" s="1965"/>
      <c r="E304" s="1965"/>
      <c r="F304" s="1965"/>
      <c r="G304" s="1965"/>
      <c r="H304" s="1965"/>
      <c r="I304" s="1965"/>
      <c r="J304" s="75"/>
      <c r="K304" s="311"/>
      <c r="L304" s="311"/>
      <c r="M304" s="311"/>
    </row>
    <row r="305" spans="2:13" ht="15" customHeight="1">
      <c r="B305" s="1952" t="s">
        <v>566</v>
      </c>
      <c r="C305" s="1953"/>
      <c r="D305" s="1952" t="s">
        <v>407</v>
      </c>
      <c r="E305" s="1953"/>
      <c r="F305" s="1952" t="s">
        <v>567</v>
      </c>
      <c r="G305" s="1962"/>
      <c r="H305" s="1962"/>
      <c r="I305" s="1953"/>
      <c r="J305" s="75"/>
      <c r="K305" s="311"/>
      <c r="L305" s="311"/>
      <c r="M305" s="311"/>
    </row>
    <row r="306" spans="2:13" ht="15" customHeight="1">
      <c r="B306" s="1962" t="s">
        <v>568</v>
      </c>
      <c r="C306" s="1962"/>
      <c r="D306" s="312"/>
      <c r="E306" s="312"/>
      <c r="F306" s="313" t="s">
        <v>569</v>
      </c>
      <c r="G306" s="313" t="s">
        <v>406</v>
      </c>
      <c r="H306" s="1963" t="s">
        <v>570</v>
      </c>
      <c r="I306" s="1963"/>
      <c r="J306" s="75"/>
      <c r="K306" s="311"/>
      <c r="L306" s="311"/>
      <c r="M306" s="311"/>
    </row>
    <row r="307" spans="2:13" ht="15" customHeight="1">
      <c r="B307" s="1950" t="s">
        <v>571</v>
      </c>
      <c r="C307" s="1951"/>
      <c r="D307" s="1950"/>
      <c r="E307" s="1951"/>
      <c r="F307" s="314"/>
      <c r="G307" s="314"/>
      <c r="H307" s="1950"/>
      <c r="I307" s="1951"/>
      <c r="J307" s="75"/>
      <c r="K307" s="311"/>
      <c r="L307" s="311"/>
      <c r="M307" s="311"/>
    </row>
    <row r="308" spans="2:13" ht="15" customHeight="1">
      <c r="B308" s="1950" t="s">
        <v>76</v>
      </c>
      <c r="C308" s="1951"/>
      <c r="D308" s="1950"/>
      <c r="E308" s="1951"/>
      <c r="F308" s="314"/>
      <c r="G308" s="314"/>
      <c r="H308" s="1950"/>
      <c r="I308" s="1951"/>
      <c r="J308" s="75"/>
      <c r="K308" s="311"/>
      <c r="L308" s="311"/>
      <c r="M308" s="311"/>
    </row>
    <row r="309" spans="2:13" ht="15" customHeight="1">
      <c r="B309" s="1950" t="s">
        <v>158</v>
      </c>
      <c r="C309" s="1951"/>
      <c r="D309" s="1950"/>
      <c r="E309" s="1951"/>
      <c r="F309" s="314"/>
      <c r="G309" s="314"/>
      <c r="H309" s="1950"/>
      <c r="I309" s="1951"/>
      <c r="J309" s="75"/>
      <c r="K309" s="311"/>
      <c r="L309" s="311"/>
      <c r="M309" s="311"/>
    </row>
    <row r="310" spans="2:13" ht="15" customHeight="1">
      <c r="B310" s="1950" t="s">
        <v>572</v>
      </c>
      <c r="C310" s="1951"/>
      <c r="D310" s="1950"/>
      <c r="E310" s="1951"/>
      <c r="F310" s="314"/>
      <c r="G310" s="314"/>
      <c r="H310" s="1950"/>
      <c r="I310" s="1951"/>
      <c r="J310" s="75"/>
      <c r="K310" s="311"/>
      <c r="L310" s="311"/>
      <c r="M310" s="311"/>
    </row>
    <row r="311" spans="2:13" ht="15" customHeight="1">
      <c r="B311" s="315"/>
      <c r="C311" s="315"/>
      <c r="D311" s="315"/>
      <c r="E311" s="315"/>
      <c r="F311" s="1952" t="s">
        <v>573</v>
      </c>
      <c r="G311" s="1953"/>
      <c r="H311" s="1950"/>
      <c r="I311" s="1951"/>
      <c r="J311" s="75"/>
      <c r="K311" s="311"/>
      <c r="L311" s="311"/>
      <c r="M311" s="311"/>
    </row>
    <row r="312" spans="2:13" ht="15" customHeight="1">
      <c r="B312" s="1964" t="s">
        <v>434</v>
      </c>
      <c r="C312" s="1965"/>
      <c r="D312" s="1965"/>
      <c r="E312" s="1965"/>
      <c r="F312" s="1965"/>
      <c r="G312" s="1965"/>
      <c r="H312" s="1965"/>
      <c r="I312" s="1965"/>
      <c r="J312" s="75"/>
      <c r="K312" s="311"/>
      <c r="L312" s="311"/>
      <c r="M312" s="311"/>
    </row>
    <row r="313" spans="2:13" ht="15" customHeight="1">
      <c r="B313" s="1952" t="s">
        <v>566</v>
      </c>
      <c r="C313" s="1953"/>
      <c r="D313" s="1952" t="s">
        <v>407</v>
      </c>
      <c r="E313" s="1953"/>
      <c r="F313" s="1952" t="s">
        <v>567</v>
      </c>
      <c r="G313" s="1962"/>
      <c r="H313" s="1962"/>
      <c r="I313" s="1953"/>
      <c r="J313" s="75"/>
      <c r="K313" s="311"/>
      <c r="L313" s="311"/>
      <c r="M313" s="311"/>
    </row>
    <row r="314" spans="2:13" ht="15" customHeight="1">
      <c r="B314" s="1962" t="s">
        <v>568</v>
      </c>
      <c r="C314" s="1962"/>
      <c r="D314" s="312"/>
      <c r="E314" s="312"/>
      <c r="F314" s="313" t="s">
        <v>569</v>
      </c>
      <c r="G314" s="313" t="s">
        <v>406</v>
      </c>
      <c r="H314" s="1963" t="s">
        <v>570</v>
      </c>
      <c r="I314" s="1963"/>
      <c r="J314" s="75"/>
      <c r="K314" s="311"/>
      <c r="L314" s="311"/>
      <c r="M314" s="311"/>
    </row>
    <row r="315" spans="2:13" ht="15" customHeight="1">
      <c r="B315" s="1950" t="s">
        <v>571</v>
      </c>
      <c r="C315" s="1951"/>
      <c r="D315" s="1950"/>
      <c r="E315" s="1951"/>
      <c r="F315" s="314"/>
      <c r="G315" s="314"/>
      <c r="H315" s="1950"/>
      <c r="I315" s="1951"/>
      <c r="J315" s="75"/>
      <c r="K315" s="311"/>
      <c r="L315" s="311"/>
      <c r="M315" s="311"/>
    </row>
    <row r="316" spans="2:13" ht="15" customHeight="1">
      <c r="B316" s="1950" t="s">
        <v>76</v>
      </c>
      <c r="C316" s="1951"/>
      <c r="D316" s="1950"/>
      <c r="E316" s="1951"/>
      <c r="F316" s="314"/>
      <c r="G316" s="314"/>
      <c r="H316" s="1950"/>
      <c r="I316" s="1951"/>
      <c r="J316" s="75"/>
      <c r="K316" s="311"/>
      <c r="L316" s="311"/>
      <c r="M316" s="311"/>
    </row>
    <row r="317" spans="2:13" ht="15" customHeight="1">
      <c r="B317" s="1950" t="s">
        <v>158</v>
      </c>
      <c r="C317" s="1951"/>
      <c r="D317" s="1950"/>
      <c r="E317" s="1951"/>
      <c r="F317" s="314"/>
      <c r="G317" s="314"/>
      <c r="H317" s="1950"/>
      <c r="I317" s="1951"/>
      <c r="J317" s="75"/>
      <c r="K317" s="311"/>
      <c r="L317" s="311"/>
      <c r="M317" s="311"/>
    </row>
    <row r="318" spans="2:13" ht="15" customHeight="1">
      <c r="B318" s="1950" t="s">
        <v>572</v>
      </c>
      <c r="C318" s="1951"/>
      <c r="D318" s="1950"/>
      <c r="E318" s="1951"/>
      <c r="F318" s="314"/>
      <c r="G318" s="314"/>
      <c r="H318" s="1950"/>
      <c r="I318" s="1951"/>
      <c r="J318" s="75"/>
      <c r="K318" s="311"/>
      <c r="L318" s="311"/>
      <c r="M318" s="311"/>
    </row>
    <row r="319" spans="2:13" ht="15" customHeight="1">
      <c r="B319" s="315"/>
      <c r="C319" s="315"/>
      <c r="D319" s="315"/>
      <c r="E319" s="315"/>
      <c r="F319" s="1952" t="s">
        <v>573</v>
      </c>
      <c r="G319" s="1953"/>
      <c r="H319" s="1950"/>
      <c r="I319" s="1951"/>
      <c r="J319" s="75"/>
      <c r="K319" s="311"/>
      <c r="L319" s="311"/>
      <c r="M319" s="311"/>
    </row>
    <row r="320" spans="2:13" ht="15" customHeight="1">
      <c r="B320" s="1964" t="s">
        <v>433</v>
      </c>
      <c r="C320" s="1965"/>
      <c r="D320" s="1965"/>
      <c r="E320" s="1965"/>
      <c r="F320" s="1965"/>
      <c r="G320" s="1965"/>
      <c r="H320" s="1965"/>
      <c r="I320" s="1965"/>
      <c r="J320" s="12"/>
      <c r="K320" s="13"/>
      <c r="L320" s="13"/>
      <c r="M320" s="75"/>
    </row>
    <row r="321" spans="2:14" ht="15" customHeight="1">
      <c r="B321" s="1952" t="s">
        <v>566</v>
      </c>
      <c r="C321" s="1953"/>
      <c r="D321" s="1952" t="s">
        <v>407</v>
      </c>
      <c r="E321" s="1953"/>
      <c r="F321" s="1952" t="s">
        <v>567</v>
      </c>
      <c r="G321" s="1962"/>
      <c r="H321" s="1962"/>
      <c r="I321" s="1953"/>
      <c r="J321" s="316"/>
      <c r="K321" s="316"/>
      <c r="L321" s="316"/>
      <c r="M321" s="316"/>
    </row>
    <row r="322" spans="2:14" ht="15" customHeight="1">
      <c r="B322" s="1962" t="s">
        <v>568</v>
      </c>
      <c r="C322" s="1962"/>
      <c r="D322" s="312"/>
      <c r="E322" s="312"/>
      <c r="F322" s="313" t="s">
        <v>569</v>
      </c>
      <c r="G322" s="313" t="s">
        <v>406</v>
      </c>
      <c r="H322" s="1963" t="s">
        <v>570</v>
      </c>
      <c r="I322" s="1963"/>
      <c r="J322" s="12"/>
      <c r="K322" s="13"/>
      <c r="L322" s="13"/>
      <c r="M322" s="75"/>
    </row>
    <row r="323" spans="2:14" ht="15" customHeight="1">
      <c r="B323" s="1950" t="s">
        <v>571</v>
      </c>
      <c r="C323" s="1951"/>
      <c r="D323" s="1950"/>
      <c r="E323" s="1951"/>
      <c r="F323" s="314"/>
      <c r="G323" s="314"/>
      <c r="H323" s="1950"/>
      <c r="I323" s="1951"/>
      <c r="J323" s="12"/>
      <c r="K323" s="13"/>
      <c r="L323" s="13"/>
      <c r="M323" s="75"/>
    </row>
    <row r="324" spans="2:14" ht="15" customHeight="1">
      <c r="B324" s="1950" t="s">
        <v>76</v>
      </c>
      <c r="C324" s="1951"/>
      <c r="D324" s="1950"/>
      <c r="E324" s="1951"/>
      <c r="F324" s="314"/>
      <c r="G324" s="314"/>
      <c r="H324" s="1950"/>
      <c r="I324" s="1951"/>
      <c r="J324" s="12"/>
      <c r="K324" s="13"/>
      <c r="L324" s="13"/>
      <c r="M324" s="75"/>
    </row>
    <row r="325" spans="2:14" ht="15" customHeight="1">
      <c r="B325" s="1950" t="s">
        <v>158</v>
      </c>
      <c r="C325" s="1951"/>
      <c r="D325" s="1950"/>
      <c r="E325" s="1951"/>
      <c r="F325" s="314"/>
      <c r="G325" s="314"/>
      <c r="H325" s="1950"/>
      <c r="I325" s="1951"/>
      <c r="J325" s="12"/>
      <c r="K325" s="13"/>
      <c r="L325" s="13"/>
      <c r="M325" s="75"/>
    </row>
    <row r="326" spans="2:14">
      <c r="B326" s="1950" t="s">
        <v>572</v>
      </c>
      <c r="C326" s="1951"/>
      <c r="D326" s="1950"/>
      <c r="E326" s="1951"/>
      <c r="F326" s="314"/>
      <c r="G326" s="314"/>
      <c r="H326" s="1950"/>
      <c r="I326" s="1951"/>
      <c r="J326" s="13"/>
      <c r="K326" s="13"/>
      <c r="L326" s="13"/>
      <c r="M326" s="75"/>
    </row>
    <row r="327" spans="2:14">
      <c r="B327" s="315"/>
      <c r="C327" s="315"/>
      <c r="D327" s="315"/>
      <c r="E327" s="315"/>
      <c r="F327" s="1952" t="s">
        <v>573</v>
      </c>
      <c r="G327" s="1953"/>
      <c r="H327" s="1950"/>
      <c r="I327" s="1951"/>
      <c r="J327" s="13"/>
      <c r="K327" s="13"/>
      <c r="L327" s="13"/>
      <c r="M327" s="75"/>
    </row>
    <row r="328" spans="2:14">
      <c r="B328" s="1954" t="s">
        <v>19</v>
      </c>
      <c r="C328" s="1955"/>
      <c r="D328" s="1955"/>
      <c r="E328" s="1955"/>
      <c r="F328" s="1955"/>
      <c r="G328" s="1955"/>
      <c r="H328" s="1955"/>
      <c r="I328" s="1955"/>
      <c r="J328" s="1955"/>
      <c r="K328" s="1955"/>
      <c r="L328" s="1955"/>
      <c r="M328" s="1956"/>
    </row>
    <row r="329" spans="2:14">
      <c r="B329" s="1960" t="s">
        <v>574</v>
      </c>
      <c r="C329" s="1961"/>
      <c r="D329" s="1961"/>
      <c r="E329" s="1961"/>
      <c r="F329" s="1961"/>
      <c r="G329" s="303"/>
      <c r="H329" s="317">
        <v>1</v>
      </c>
      <c r="I329" s="317">
        <v>2</v>
      </c>
      <c r="J329" s="317">
        <v>3</v>
      </c>
      <c r="K329" s="317">
        <v>4</v>
      </c>
      <c r="L329" s="317">
        <v>5</v>
      </c>
      <c r="M329" s="318">
        <v>6</v>
      </c>
    </row>
    <row r="330" spans="2:14">
      <c r="B330" s="1960" t="s">
        <v>77</v>
      </c>
      <c r="C330" s="1961"/>
      <c r="D330" s="1961"/>
      <c r="E330" s="1961"/>
      <c r="F330" s="1961"/>
      <c r="G330" s="319" t="s">
        <v>28</v>
      </c>
      <c r="H330" s="320"/>
      <c r="I330" s="320"/>
      <c r="J330" s="320"/>
      <c r="K330" s="320"/>
      <c r="L330" s="320"/>
      <c r="M330" s="321"/>
    </row>
    <row r="331" spans="2:14">
      <c r="B331" s="1960" t="s">
        <v>20</v>
      </c>
      <c r="C331" s="1961"/>
      <c r="D331" s="1961"/>
      <c r="E331" s="1961"/>
      <c r="F331" s="1961"/>
      <c r="G331" s="319"/>
      <c r="H331" s="322" t="s">
        <v>54</v>
      </c>
      <c r="I331" s="322" t="s">
        <v>99</v>
      </c>
      <c r="J331" s="322" t="s">
        <v>99</v>
      </c>
      <c r="K331" s="322" t="s">
        <v>54</v>
      </c>
      <c r="L331" s="322"/>
      <c r="M331" s="323"/>
      <c r="N331" s="324"/>
    </row>
    <row r="332" spans="2:14">
      <c r="B332" s="1960" t="s">
        <v>38</v>
      </c>
      <c r="C332" s="1961"/>
      <c r="D332" s="1961"/>
      <c r="E332" s="1961"/>
      <c r="F332" s="1961"/>
      <c r="G332" s="319" t="s">
        <v>31</v>
      </c>
      <c r="H332" s="320"/>
      <c r="I332" s="320"/>
      <c r="J332" s="320"/>
      <c r="K332" s="320"/>
      <c r="L332" s="320"/>
      <c r="M332" s="321"/>
      <c r="N332" s="324"/>
    </row>
    <row r="333" spans="2:14">
      <c r="B333" s="1960" t="s">
        <v>78</v>
      </c>
      <c r="C333" s="1961"/>
      <c r="D333" s="1961"/>
      <c r="E333" s="1961"/>
      <c r="F333" s="1961"/>
      <c r="G333" s="319" t="s">
        <v>31</v>
      </c>
      <c r="H333" s="320"/>
      <c r="I333" s="320"/>
      <c r="J333" s="320"/>
      <c r="K333" s="320"/>
      <c r="L333" s="320"/>
      <c r="M333" s="321"/>
      <c r="N333" s="324"/>
    </row>
    <row r="334" spans="2:14">
      <c r="B334" s="1960" t="s">
        <v>79</v>
      </c>
      <c r="C334" s="1961"/>
      <c r="D334" s="1961"/>
      <c r="E334" s="1961"/>
      <c r="F334" s="1961"/>
      <c r="G334" s="319" t="s">
        <v>80</v>
      </c>
      <c r="H334" s="320"/>
      <c r="I334" s="320"/>
      <c r="J334" s="320"/>
      <c r="K334" s="320"/>
      <c r="L334" s="320"/>
      <c r="M334" s="321"/>
      <c r="N334" s="324"/>
    </row>
    <row r="335" spans="2:14" ht="15" thickBot="1">
      <c r="B335" s="1"/>
      <c r="C335" s="1"/>
      <c r="D335" s="1"/>
      <c r="E335" s="1"/>
      <c r="F335" s="1"/>
      <c r="G335" s="1"/>
      <c r="H335" s="1"/>
      <c r="I335" s="1"/>
      <c r="J335" s="1"/>
      <c r="K335" s="1"/>
      <c r="L335" s="1"/>
      <c r="M335" s="1"/>
      <c r="N335" s="1"/>
    </row>
    <row r="336" spans="2:14" ht="18.600000000000001" thickBot="1">
      <c r="B336" s="1796" t="s">
        <v>141</v>
      </c>
      <c r="C336" s="1797"/>
      <c r="D336" s="1797"/>
      <c r="E336" s="1797"/>
      <c r="F336" s="1797"/>
      <c r="G336" s="1797"/>
      <c r="H336" s="1797"/>
      <c r="I336" s="1797"/>
      <c r="J336" s="1797"/>
      <c r="K336" s="1797"/>
      <c r="L336" s="1797"/>
      <c r="M336" s="1798"/>
      <c r="N336" s="1"/>
    </row>
    <row r="337" spans="1:14" ht="18">
      <c r="B337" s="1799" t="s">
        <v>162</v>
      </c>
      <c r="C337" s="1800"/>
      <c r="D337" s="1800"/>
      <c r="E337" s="1800"/>
      <c r="F337" s="1800"/>
      <c r="G337" s="1800"/>
      <c r="H337" s="1800"/>
      <c r="I337" s="1800"/>
      <c r="J337" s="1800"/>
      <c r="K337" s="1800"/>
      <c r="L337" s="1800"/>
      <c r="M337" s="1801"/>
      <c r="N337" s="1"/>
    </row>
    <row r="338" spans="1:14" ht="15" customHeight="1">
      <c r="B338" s="1802" t="s">
        <v>138</v>
      </c>
      <c r="C338" s="1803"/>
      <c r="D338" s="1803"/>
      <c r="E338" s="1803"/>
      <c r="F338" s="1803"/>
      <c r="G338" s="1803"/>
      <c r="H338" s="1804"/>
      <c r="I338" s="948">
        <f>COUNTIF(G342:R342,"Existant")+COUNTIF(G342:R342,"Abandonné pour le projet")</f>
        <v>0</v>
      </c>
      <c r="J338" s="1805"/>
      <c r="K338" s="1806"/>
      <c r="L338" s="1806"/>
      <c r="M338" s="1807"/>
      <c r="N338" s="1"/>
    </row>
    <row r="339" spans="1:14" ht="15" customHeight="1">
      <c r="B339" s="1802" t="s">
        <v>140</v>
      </c>
      <c r="C339" s="1803"/>
      <c r="D339" s="1803"/>
      <c r="E339" s="1803"/>
      <c r="F339" s="1803"/>
      <c r="G339" s="1803"/>
      <c r="H339" s="1804"/>
      <c r="I339" s="948">
        <f>COUNTIF(G342:R342,"Existant")+COUNTIF(G342:R342,"Neuf")</f>
        <v>0</v>
      </c>
      <c r="J339" s="1808"/>
      <c r="K339" s="1809"/>
      <c r="L339" s="1809"/>
      <c r="M339" s="1810"/>
      <c r="N339" s="1"/>
    </row>
    <row r="340" spans="1:14">
      <c r="B340" s="1820" t="s">
        <v>366</v>
      </c>
      <c r="C340" s="1821"/>
      <c r="D340" s="1821"/>
      <c r="E340" s="1821"/>
      <c r="F340" s="1829"/>
      <c r="G340" s="949" t="s">
        <v>146</v>
      </c>
      <c r="H340" s="950"/>
      <c r="I340" s="950"/>
      <c r="J340" s="950"/>
      <c r="K340" s="950"/>
      <c r="L340" s="950"/>
      <c r="M340" s="951"/>
      <c r="N340" s="1"/>
    </row>
    <row r="341" spans="1:14">
      <c r="B341" s="1820" t="s">
        <v>9</v>
      </c>
      <c r="C341" s="1821"/>
      <c r="D341" s="1821"/>
      <c r="E341" s="1821"/>
      <c r="F341" s="1829"/>
      <c r="G341" s="952" t="s">
        <v>142</v>
      </c>
      <c r="H341" s="952"/>
      <c r="I341" s="952"/>
      <c r="J341" s="952"/>
      <c r="K341" s="952"/>
      <c r="L341" s="952"/>
      <c r="M341" s="953"/>
      <c r="N341" s="1"/>
    </row>
    <row r="342" spans="1:14" ht="15.75" customHeight="1" thickBot="1">
      <c r="B342" s="1957" t="s">
        <v>165</v>
      </c>
      <c r="C342" s="1958"/>
      <c r="D342" s="1958"/>
      <c r="E342" s="1958"/>
      <c r="F342" s="1959"/>
      <c r="G342" s="954"/>
      <c r="H342" s="954"/>
      <c r="I342" s="954"/>
      <c r="J342" s="954"/>
      <c r="K342" s="954"/>
      <c r="L342" s="954"/>
      <c r="M342" s="955"/>
      <c r="N342" s="1"/>
    </row>
    <row r="343" spans="1:14" ht="18" thickBot="1">
      <c r="B343" s="1811" t="s">
        <v>816</v>
      </c>
      <c r="C343" s="1812"/>
      <c r="D343" s="1812"/>
      <c r="E343" s="1812"/>
      <c r="F343" s="1812"/>
      <c r="G343" s="1812"/>
      <c r="H343" s="1812"/>
      <c r="I343" s="1812"/>
      <c r="J343" s="1812"/>
      <c r="K343" s="1812"/>
      <c r="L343" s="1812"/>
      <c r="M343" s="1813"/>
      <c r="N343" s="1"/>
    </row>
    <row r="344" spans="1:14">
      <c r="B344" s="1814"/>
      <c r="C344" s="1815"/>
      <c r="D344" s="1815"/>
      <c r="E344" s="1816"/>
      <c r="F344" s="998" t="s">
        <v>72</v>
      </c>
      <c r="G344" s="1817" t="s">
        <v>213</v>
      </c>
      <c r="H344" s="1818"/>
      <c r="I344" s="1818"/>
      <c r="J344" s="1818"/>
      <c r="K344" s="1818"/>
      <c r="L344" s="1818"/>
      <c r="M344" s="1819"/>
      <c r="N344" s="1"/>
    </row>
    <row r="345" spans="1:14">
      <c r="B345" s="1820" t="s">
        <v>73</v>
      </c>
      <c r="C345" s="1821"/>
      <c r="D345" s="1822"/>
      <c r="E345" s="956" t="s">
        <v>108</v>
      </c>
      <c r="F345" s="957">
        <f>SUM(G345:M345)</f>
        <v>791</v>
      </c>
      <c r="G345" s="958">
        <v>791</v>
      </c>
      <c r="H345" s="958"/>
      <c r="I345" s="958"/>
      <c r="J345" s="958"/>
      <c r="K345" s="958"/>
      <c r="L345" s="958"/>
      <c r="M345" s="959"/>
      <c r="N345" s="1"/>
    </row>
    <row r="346" spans="1:14" ht="15" customHeight="1">
      <c r="B346" s="1820" t="s">
        <v>814</v>
      </c>
      <c r="C346" s="1821"/>
      <c r="D346" s="1822"/>
      <c r="E346" s="956" t="s">
        <v>29</v>
      </c>
      <c r="F346" s="960"/>
      <c r="G346" s="961">
        <f>SUM(G347:G350)</f>
        <v>128.5</v>
      </c>
      <c r="H346" s="961"/>
      <c r="I346" s="961"/>
      <c r="J346" s="961"/>
      <c r="K346" s="961"/>
      <c r="L346" s="961"/>
      <c r="M346" s="962"/>
      <c r="N346" s="1"/>
    </row>
    <row r="347" spans="1:14">
      <c r="B347" s="1823" t="s">
        <v>136</v>
      </c>
      <c r="C347" s="1824"/>
      <c r="D347" s="1825"/>
      <c r="E347" s="963" t="s">
        <v>29</v>
      </c>
      <c r="F347" s="960"/>
      <c r="G347" s="964">
        <v>122</v>
      </c>
      <c r="H347" s="964"/>
      <c r="I347" s="964"/>
      <c r="J347" s="964"/>
      <c r="K347" s="964"/>
      <c r="L347" s="964"/>
      <c r="M347" s="965"/>
      <c r="N347" s="1"/>
    </row>
    <row r="348" spans="1:14">
      <c r="A348" s="10"/>
      <c r="B348" s="1823" t="s">
        <v>137</v>
      </c>
      <c r="C348" s="1824"/>
      <c r="D348" s="1825"/>
      <c r="E348" s="963" t="s">
        <v>29</v>
      </c>
      <c r="F348" s="960"/>
      <c r="G348" s="966">
        <v>6.5</v>
      </c>
      <c r="H348" s="966"/>
      <c r="I348" s="966"/>
      <c r="J348" s="966"/>
      <c r="K348" s="966"/>
      <c r="L348" s="966"/>
      <c r="M348" s="967"/>
    </row>
    <row r="349" spans="1:14">
      <c r="A349" s="10"/>
      <c r="B349" s="1005"/>
      <c r="C349" s="1006"/>
      <c r="D349" s="1007"/>
      <c r="E349" s="963"/>
      <c r="F349" s="960"/>
      <c r="G349" s="966"/>
      <c r="H349" s="966"/>
      <c r="I349" s="966"/>
      <c r="J349" s="966"/>
      <c r="K349" s="966"/>
      <c r="L349" s="966"/>
      <c r="M349" s="967"/>
    </row>
    <row r="350" spans="1:14">
      <c r="A350" s="10"/>
      <c r="B350" s="1823" t="s">
        <v>198</v>
      </c>
      <c r="C350" s="1824"/>
      <c r="D350" s="1825"/>
      <c r="E350" s="963" t="s">
        <v>29</v>
      </c>
      <c r="F350" s="960"/>
      <c r="G350" s="964"/>
      <c r="H350" s="964"/>
      <c r="I350" s="964"/>
      <c r="J350" s="964"/>
      <c r="K350" s="964"/>
      <c r="L350" s="964"/>
      <c r="M350" s="965"/>
    </row>
    <row r="351" spans="1:14">
      <c r="A351" s="10"/>
      <c r="B351" s="1826" t="s">
        <v>203</v>
      </c>
      <c r="C351" s="1827"/>
      <c r="D351" s="1828"/>
      <c r="E351" s="530" t="s">
        <v>40</v>
      </c>
      <c r="F351" s="960"/>
      <c r="G351" s="968"/>
      <c r="H351" s="968"/>
      <c r="I351" s="968"/>
      <c r="J351" s="968"/>
      <c r="K351" s="968"/>
      <c r="L351" s="968"/>
      <c r="M351" s="969"/>
    </row>
    <row r="352" spans="1:14" ht="15" customHeight="1">
      <c r="B352" s="1820" t="str">
        <f>IF(E351="oui","Classe énergétique","")</f>
        <v>Classe énergétique</v>
      </c>
      <c r="C352" s="1821"/>
      <c r="D352" s="1829"/>
      <c r="E352" s="970"/>
      <c r="F352" s="960"/>
      <c r="G352" s="971"/>
      <c r="H352" s="971"/>
      <c r="I352" s="971"/>
      <c r="J352" s="971"/>
      <c r="K352" s="971"/>
      <c r="L352" s="971"/>
      <c r="M352" s="972"/>
      <c r="N352" s="325"/>
    </row>
    <row r="353" spans="2:14" ht="17.25" customHeight="1">
      <c r="B353" s="1830" t="s">
        <v>354</v>
      </c>
      <c r="C353" s="1831"/>
      <c r="D353" s="1832"/>
      <c r="E353" s="956" t="s">
        <v>53</v>
      </c>
      <c r="F353" s="973">
        <f>IF(SUM(G353:R353)=0,"",SUM(G353:R353))</f>
        <v>100</v>
      </c>
      <c r="G353" s="974">
        <v>100</v>
      </c>
      <c r="H353" s="974"/>
      <c r="I353" s="974"/>
      <c r="J353" s="974"/>
      <c r="K353" s="974"/>
      <c r="L353" s="974"/>
      <c r="M353" s="975"/>
      <c r="N353" s="325"/>
    </row>
    <row r="354" spans="2:14" ht="15" customHeight="1">
      <c r="B354" s="1820" t="s">
        <v>216</v>
      </c>
      <c r="C354" s="1821"/>
      <c r="D354" s="1822"/>
      <c r="E354" s="956" t="s">
        <v>163</v>
      </c>
      <c r="F354" s="976">
        <f t="shared" ref="F354:F359" si="0">SUM(G354:R354)</f>
        <v>0</v>
      </c>
      <c r="G354" s="977"/>
      <c r="H354" s="977"/>
      <c r="I354" s="977"/>
      <c r="J354" s="977"/>
      <c r="K354" s="977"/>
      <c r="L354" s="977"/>
      <c r="M354" s="978"/>
    </row>
    <row r="355" spans="2:14" ht="15" customHeight="1">
      <c r="B355" s="1820" t="s">
        <v>212</v>
      </c>
      <c r="C355" s="1821"/>
      <c r="D355" s="1822"/>
      <c r="E355" s="956" t="s">
        <v>163</v>
      </c>
      <c r="F355" s="976">
        <f t="shared" si="0"/>
        <v>15</v>
      </c>
      <c r="G355" s="977">
        <v>15</v>
      </c>
      <c r="H355" s="977"/>
      <c r="I355" s="977"/>
      <c r="J355" s="977"/>
      <c r="K355" s="977"/>
      <c r="L355" s="977"/>
      <c r="M355" s="978"/>
    </row>
    <row r="356" spans="2:14" ht="15" customHeight="1">
      <c r="B356" s="1820" t="s">
        <v>214</v>
      </c>
      <c r="C356" s="1821"/>
      <c r="D356" s="1822"/>
      <c r="E356" s="956" t="s">
        <v>163</v>
      </c>
      <c r="F356" s="976">
        <f t="shared" si="0"/>
        <v>0</v>
      </c>
      <c r="G356" s="977"/>
      <c r="H356" s="977"/>
      <c r="I356" s="977"/>
      <c r="J356" s="977"/>
      <c r="K356" s="977"/>
      <c r="L356" s="977"/>
      <c r="M356" s="978"/>
    </row>
    <row r="357" spans="2:14" ht="15" customHeight="1">
      <c r="B357" s="1820" t="s">
        <v>217</v>
      </c>
      <c r="C357" s="1821"/>
      <c r="D357" s="1822"/>
      <c r="E357" s="979" t="s">
        <v>163</v>
      </c>
      <c r="F357" s="976">
        <f t="shared" si="0"/>
        <v>0</v>
      </c>
      <c r="G357" s="977"/>
      <c r="H357" s="977"/>
      <c r="I357" s="977"/>
      <c r="J357" s="977"/>
      <c r="K357" s="977"/>
      <c r="L357" s="977"/>
      <c r="M357" s="978"/>
    </row>
    <row r="358" spans="2:14" ht="15" customHeight="1">
      <c r="B358" s="1820" t="s">
        <v>215</v>
      </c>
      <c r="C358" s="1821"/>
      <c r="D358" s="1829"/>
      <c r="E358" s="980" t="s">
        <v>163</v>
      </c>
      <c r="F358" s="981">
        <f t="shared" si="0"/>
        <v>10</v>
      </c>
      <c r="G358" s="977">
        <v>10</v>
      </c>
      <c r="H358" s="977"/>
      <c r="I358" s="977"/>
      <c r="J358" s="977"/>
      <c r="K358" s="977"/>
      <c r="L358" s="977"/>
      <c r="M358" s="978"/>
    </row>
    <row r="359" spans="2:14" ht="15" customHeight="1">
      <c r="B359" s="1820" t="s">
        <v>211</v>
      </c>
      <c r="C359" s="1821"/>
      <c r="D359" s="1829"/>
      <c r="E359" s="980" t="s">
        <v>163</v>
      </c>
      <c r="F359" s="981">
        <f t="shared" si="0"/>
        <v>0</v>
      </c>
      <c r="G359" s="977"/>
      <c r="H359" s="977"/>
      <c r="I359" s="977"/>
      <c r="J359" s="977"/>
      <c r="K359" s="977"/>
      <c r="L359" s="977"/>
      <c r="M359" s="978"/>
    </row>
    <row r="360" spans="2:14" ht="15" customHeight="1">
      <c r="B360" s="1910" t="s">
        <v>204</v>
      </c>
      <c r="C360" s="1911"/>
      <c r="D360" s="1912"/>
      <c r="E360" s="980" t="s">
        <v>163</v>
      </c>
      <c r="F360" s="976">
        <f>SUM(G360:R360)</f>
        <v>25</v>
      </c>
      <c r="G360" s="982">
        <f>IF(SUM(G354:G359)=0,"",IFERROR(SUM(G354:G359),""))</f>
        <v>25</v>
      </c>
      <c r="H360" s="982" t="str">
        <f t="shared" ref="H360:M360" si="1">IF(SUM(H354:H359)=0,"",IFERROR(SUM(H354:H359),""))</f>
        <v/>
      </c>
      <c r="I360" s="982" t="str">
        <f t="shared" si="1"/>
        <v/>
      </c>
      <c r="J360" s="982" t="str">
        <f t="shared" si="1"/>
        <v/>
      </c>
      <c r="K360" s="982" t="str">
        <f t="shared" si="1"/>
        <v/>
      </c>
      <c r="L360" s="982" t="str">
        <f t="shared" si="1"/>
        <v/>
      </c>
      <c r="M360" s="983" t="str">
        <f t="shared" si="1"/>
        <v/>
      </c>
    </row>
    <row r="361" spans="2:14" ht="15" customHeight="1">
      <c r="B361" s="1910" t="s">
        <v>351</v>
      </c>
      <c r="C361" s="1911"/>
      <c r="D361" s="1912"/>
      <c r="E361" s="980" t="s">
        <v>352</v>
      </c>
      <c r="F361" s="976">
        <f>SUM(G361:R361)</f>
        <v>15</v>
      </c>
      <c r="G361" s="982">
        <f>IFERROR(G354+G355+G356*2.58+G357*0+G358*0+G359*0,"")</f>
        <v>15</v>
      </c>
      <c r="H361" s="982" t="str">
        <f t="shared" ref="H361:M361" si="2">IF(H354+H355+H356*2.58+H357*0+H358*0+H359*0=0,"",IFERROR(H354+H355+H356*2.58+H357*0+H358*0+H359*0,""))</f>
        <v/>
      </c>
      <c r="I361" s="982" t="str">
        <f t="shared" si="2"/>
        <v/>
      </c>
      <c r="J361" s="982" t="str">
        <f t="shared" si="2"/>
        <v/>
      </c>
      <c r="K361" s="982" t="str">
        <f t="shared" si="2"/>
        <v/>
      </c>
      <c r="L361" s="982" t="str">
        <f t="shared" si="2"/>
        <v/>
      </c>
      <c r="M361" s="983" t="str">
        <f t="shared" si="2"/>
        <v/>
      </c>
    </row>
    <row r="362" spans="2:14" ht="15" customHeight="1">
      <c r="B362" s="1910" t="s">
        <v>349</v>
      </c>
      <c r="C362" s="1911"/>
      <c r="D362" s="1912"/>
      <c r="E362" s="980" t="s">
        <v>815</v>
      </c>
      <c r="F362" s="984">
        <f>IFERROR(SUM(G361:R361)*1000/F345,"")</f>
        <v>18.963337547408344</v>
      </c>
      <c r="G362" s="985">
        <f>IFERROR(G361*1000/G345,"")</f>
        <v>18.963337547408344</v>
      </c>
      <c r="H362" s="985" t="str">
        <f t="shared" ref="H362:M362" si="3">IFERROR(H360*1000/H345,"")</f>
        <v/>
      </c>
      <c r="I362" s="985" t="str">
        <f t="shared" si="3"/>
        <v/>
      </c>
      <c r="J362" s="985" t="str">
        <f t="shared" si="3"/>
        <v/>
      </c>
      <c r="K362" s="985" t="str">
        <f t="shared" si="3"/>
        <v/>
      </c>
      <c r="L362" s="985" t="str">
        <f t="shared" si="3"/>
        <v/>
      </c>
      <c r="M362" s="986" t="str">
        <f t="shared" si="3"/>
        <v/>
      </c>
    </row>
    <row r="363" spans="2:14" ht="15" customHeight="1" thickBot="1">
      <c r="B363" s="1913" t="s">
        <v>218</v>
      </c>
      <c r="C363" s="1914"/>
      <c r="D363" s="1915"/>
      <c r="E363" s="999"/>
      <c r="F363" s="1000" t="str">
        <f t="shared" ref="F363:M363" si="4">IF(F362="-","",IF(F362&lt;=50,"A",IF(F362&lt;=90,"B",IF(F362&lt;=150,"C",IF(F362&lt;230,"D",IF(F362&lt;330,"E",IF(F362&lt;=450,"F","")))))))</f>
        <v>A</v>
      </c>
      <c r="G363" s="1001" t="str">
        <f>IF(G362="-","",IF(G362&lt;=50,"A",IF(G362&lt;=90,"B",IF(G362&lt;=150,"C",IF(G362&lt;230,"D",IF(G362&lt;330,"E",IF(G362&lt;=450,"F","&gt;F")))))))</f>
        <v>A</v>
      </c>
      <c r="H363" s="1001" t="str">
        <f t="shared" si="4"/>
        <v/>
      </c>
      <c r="I363" s="1001" t="str">
        <f t="shared" si="4"/>
        <v/>
      </c>
      <c r="J363" s="1001" t="str">
        <f t="shared" si="4"/>
        <v/>
      </c>
      <c r="K363" s="1001" t="str">
        <f t="shared" si="4"/>
        <v/>
      </c>
      <c r="L363" s="1001" t="str">
        <f t="shared" si="4"/>
        <v/>
      </c>
      <c r="M363" s="1002" t="str">
        <f t="shared" si="4"/>
        <v/>
      </c>
    </row>
    <row r="364" spans="2:14" ht="15" customHeight="1" thickBot="1">
      <c r="B364" s="1916" t="s">
        <v>135</v>
      </c>
      <c r="C364" s="1917"/>
      <c r="D364" s="1917"/>
      <c r="E364" s="1917"/>
      <c r="F364" s="1917"/>
      <c r="G364" s="1917"/>
      <c r="H364" s="1917"/>
      <c r="I364" s="1917"/>
      <c r="J364" s="1917"/>
      <c r="K364" s="1917"/>
      <c r="L364" s="1917"/>
      <c r="M364" s="1918"/>
    </row>
    <row r="365" spans="2:14" ht="15" customHeight="1">
      <c r="B365" s="1814"/>
      <c r="C365" s="1815"/>
      <c r="D365" s="1815"/>
      <c r="E365" s="1816"/>
      <c r="F365" s="987" t="s">
        <v>72</v>
      </c>
      <c r="G365" s="1817" t="s">
        <v>213</v>
      </c>
      <c r="H365" s="1818"/>
      <c r="I365" s="1818"/>
      <c r="J365" s="1818"/>
      <c r="K365" s="1818"/>
      <c r="L365" s="1818"/>
      <c r="M365" s="1819"/>
    </row>
    <row r="366" spans="2:14" ht="17.25" customHeight="1">
      <c r="B366" s="1820" t="s">
        <v>73</v>
      </c>
      <c r="C366" s="1821"/>
      <c r="D366" s="1822"/>
      <c r="E366" s="956" t="s">
        <v>108</v>
      </c>
      <c r="F366" s="957">
        <f>SUM(G366:R366)</f>
        <v>791</v>
      </c>
      <c r="G366" s="988">
        <v>791</v>
      </c>
      <c r="H366" s="988"/>
      <c r="I366" s="988"/>
      <c r="J366" s="988"/>
      <c r="K366" s="988"/>
      <c r="L366" s="988"/>
      <c r="M366" s="989"/>
    </row>
    <row r="367" spans="2:14" ht="15" customHeight="1">
      <c r="B367" s="1820" t="s">
        <v>814</v>
      </c>
      <c r="C367" s="1821"/>
      <c r="D367" s="1822"/>
      <c r="E367" s="956" t="s">
        <v>29</v>
      </c>
      <c r="F367" s="960"/>
      <c r="G367" s="990">
        <f>SUM(G368:G369)</f>
        <v>97.5</v>
      </c>
      <c r="H367" s="990"/>
      <c r="I367" s="990"/>
      <c r="J367" s="990"/>
      <c r="K367" s="990"/>
      <c r="L367" s="990"/>
      <c r="M367" s="991"/>
    </row>
    <row r="368" spans="2:14" ht="15" customHeight="1">
      <c r="B368" s="1823" t="s">
        <v>136</v>
      </c>
      <c r="C368" s="1824"/>
      <c r="D368" s="1825"/>
      <c r="E368" s="963" t="s">
        <v>29</v>
      </c>
      <c r="F368" s="960"/>
      <c r="G368" s="977">
        <v>91</v>
      </c>
      <c r="H368" s="977"/>
      <c r="I368" s="977"/>
      <c r="J368" s="977"/>
      <c r="K368" s="977"/>
      <c r="L368" s="977"/>
      <c r="M368" s="978"/>
    </row>
    <row r="369" spans="2:13" ht="15" customHeight="1">
      <c r="B369" s="1823" t="s">
        <v>137</v>
      </c>
      <c r="C369" s="1824"/>
      <c r="D369" s="1825"/>
      <c r="E369" s="963" t="s">
        <v>29</v>
      </c>
      <c r="F369" s="960"/>
      <c r="G369" s="977">
        <v>6.5</v>
      </c>
      <c r="H369" s="977"/>
      <c r="I369" s="977"/>
      <c r="J369" s="977"/>
      <c r="K369" s="977"/>
      <c r="L369" s="977"/>
      <c r="M369" s="978"/>
    </row>
    <row r="370" spans="2:13" ht="15" customHeight="1">
      <c r="B370" s="1005"/>
      <c r="C370" s="1006"/>
      <c r="D370" s="1007"/>
      <c r="E370" s="963"/>
      <c r="F370" s="960"/>
      <c r="G370" s="977"/>
      <c r="H370" s="977"/>
      <c r="I370" s="977"/>
      <c r="J370" s="977"/>
      <c r="K370" s="977"/>
      <c r="L370" s="977"/>
      <c r="M370" s="978"/>
    </row>
    <row r="371" spans="2:13" ht="15" customHeight="1">
      <c r="B371" s="1823" t="s">
        <v>198</v>
      </c>
      <c r="C371" s="1824"/>
      <c r="D371" s="1825"/>
      <c r="E371" s="963" t="s">
        <v>29</v>
      </c>
      <c r="F371" s="960"/>
      <c r="G371" s="977"/>
      <c r="H371" s="977"/>
      <c r="I371" s="977"/>
      <c r="J371" s="977"/>
      <c r="K371" s="977"/>
      <c r="L371" s="977"/>
      <c r="M371" s="978"/>
    </row>
    <row r="372" spans="2:13" ht="15" customHeight="1">
      <c r="B372" s="1826" t="s">
        <v>203</v>
      </c>
      <c r="C372" s="1827"/>
      <c r="D372" s="1828"/>
      <c r="E372" s="530" t="s">
        <v>41</v>
      </c>
      <c r="F372" s="960"/>
      <c r="G372" s="977"/>
      <c r="H372" s="977"/>
      <c r="I372" s="977"/>
      <c r="J372" s="977"/>
      <c r="K372" s="977"/>
      <c r="L372" s="977"/>
      <c r="M372" s="978"/>
    </row>
    <row r="373" spans="2:13" ht="15" customHeight="1">
      <c r="B373" s="1826" t="str">
        <f>IF(E372="oui","Classe énergétique","")</f>
        <v/>
      </c>
      <c r="C373" s="1827"/>
      <c r="D373" s="1828"/>
      <c r="E373" s="970"/>
      <c r="F373" s="960"/>
      <c r="G373" s="977"/>
      <c r="H373" s="977"/>
      <c r="I373" s="977"/>
      <c r="J373" s="977"/>
      <c r="K373" s="977"/>
      <c r="L373" s="977"/>
      <c r="M373" s="978"/>
    </row>
    <row r="374" spans="2:13" ht="17.25" customHeight="1">
      <c r="B374" s="1830" t="s">
        <v>354</v>
      </c>
      <c r="C374" s="1831"/>
      <c r="D374" s="1832"/>
      <c r="E374" s="956" t="s">
        <v>53</v>
      </c>
      <c r="F374" s="973">
        <f>IF(SUM(G374:R374)=0,"",SUM(G374:R374))</f>
        <v>100</v>
      </c>
      <c r="G374" s="1003">
        <v>100</v>
      </c>
      <c r="H374" s="977"/>
      <c r="I374" s="977"/>
      <c r="J374" s="977"/>
      <c r="K374" s="977"/>
      <c r="L374" s="977"/>
      <c r="M374" s="978"/>
    </row>
    <row r="375" spans="2:13" ht="15" customHeight="1">
      <c r="B375" s="1820" t="s">
        <v>216</v>
      </c>
      <c r="C375" s="1821"/>
      <c r="D375" s="1822"/>
      <c r="E375" s="956" t="s">
        <v>163</v>
      </c>
      <c r="F375" s="976">
        <f t="shared" ref="F375:F378" si="5">SUM(G375:R375)</f>
        <v>0</v>
      </c>
      <c r="G375" s="977"/>
      <c r="H375" s="977"/>
      <c r="I375" s="977"/>
      <c r="J375" s="977"/>
      <c r="K375" s="977"/>
      <c r="L375" s="977"/>
      <c r="M375" s="978"/>
    </row>
    <row r="376" spans="2:13" ht="15" customHeight="1">
      <c r="B376" s="1820" t="s">
        <v>212</v>
      </c>
      <c r="C376" s="1821"/>
      <c r="D376" s="1822"/>
      <c r="E376" s="956" t="s">
        <v>163</v>
      </c>
      <c r="F376" s="976">
        <f t="shared" si="5"/>
        <v>0</v>
      </c>
      <c r="G376" s="977"/>
      <c r="H376" s="977"/>
      <c r="I376" s="977"/>
      <c r="J376" s="977"/>
      <c r="K376" s="977"/>
      <c r="L376" s="977"/>
      <c r="M376" s="978"/>
    </row>
    <row r="377" spans="2:13" ht="15" customHeight="1">
      <c r="B377" s="1820" t="s">
        <v>214</v>
      </c>
      <c r="C377" s="1821"/>
      <c r="D377" s="1822"/>
      <c r="E377" s="956" t="s">
        <v>163</v>
      </c>
      <c r="F377" s="976">
        <f t="shared" si="5"/>
        <v>0</v>
      </c>
      <c r="G377" s="977"/>
      <c r="H377" s="977"/>
      <c r="I377" s="977"/>
      <c r="J377" s="977"/>
      <c r="K377" s="977"/>
      <c r="L377" s="977"/>
      <c r="M377" s="978"/>
    </row>
    <row r="378" spans="2:13" ht="15" customHeight="1">
      <c r="B378" s="1820" t="s">
        <v>217</v>
      </c>
      <c r="C378" s="1821"/>
      <c r="D378" s="1822"/>
      <c r="E378" s="956" t="s">
        <v>163</v>
      </c>
      <c r="F378" s="976">
        <f t="shared" si="5"/>
        <v>0</v>
      </c>
      <c r="G378" s="977"/>
      <c r="H378" s="977"/>
      <c r="I378" s="977"/>
      <c r="J378" s="977"/>
      <c r="K378" s="977"/>
      <c r="L378" s="977"/>
      <c r="M378" s="978"/>
    </row>
    <row r="379" spans="2:13" ht="15" customHeight="1">
      <c r="B379" s="1820" t="s">
        <v>215</v>
      </c>
      <c r="C379" s="1821"/>
      <c r="D379" s="1822"/>
      <c r="E379" s="956" t="s">
        <v>163</v>
      </c>
      <c r="F379" s="981">
        <f>SUM(G379:R379)</f>
        <v>122</v>
      </c>
      <c r="G379" s="977">
        <v>122</v>
      </c>
      <c r="H379" s="977"/>
      <c r="I379" s="977"/>
      <c r="J379" s="977"/>
      <c r="K379" s="977"/>
      <c r="L379" s="977"/>
      <c r="M379" s="978"/>
    </row>
    <row r="380" spans="2:13" ht="33" customHeight="1">
      <c r="B380" s="1820" t="s">
        <v>211</v>
      </c>
      <c r="C380" s="1821"/>
      <c r="D380" s="1822"/>
      <c r="E380" s="956" t="s">
        <v>163</v>
      </c>
      <c r="F380" s="981">
        <f>SUM(G380:R380)</f>
        <v>0</v>
      </c>
      <c r="G380" s="977"/>
      <c r="H380" s="977"/>
      <c r="I380" s="977"/>
      <c r="J380" s="977"/>
      <c r="K380" s="977"/>
      <c r="L380" s="977"/>
      <c r="M380" s="978"/>
    </row>
    <row r="381" spans="2:13" ht="15" customHeight="1">
      <c r="B381" s="1820" t="s">
        <v>204</v>
      </c>
      <c r="C381" s="1821"/>
      <c r="D381" s="1829"/>
      <c r="E381" s="980" t="s">
        <v>163</v>
      </c>
      <c r="F381" s="976">
        <f>SUM(G381:R381)</f>
        <v>122</v>
      </c>
      <c r="G381" s="982">
        <f>IF(SUM(G375:G380)=0,"",IFERROR(SUM(G375:G380),""))</f>
        <v>122</v>
      </c>
      <c r="H381" s="982" t="str">
        <f t="shared" ref="H381:M381" si="6">IF(SUM(H375:H380)=0,"",IFERROR(SUM(H375:H380),""))</f>
        <v/>
      </c>
      <c r="I381" s="982" t="str">
        <f t="shared" si="6"/>
        <v/>
      </c>
      <c r="J381" s="982" t="str">
        <f t="shared" si="6"/>
        <v/>
      </c>
      <c r="K381" s="982" t="str">
        <f t="shared" si="6"/>
        <v/>
      </c>
      <c r="L381" s="982" t="str">
        <f t="shared" si="6"/>
        <v/>
      </c>
      <c r="M381" s="983" t="str">
        <f t="shared" si="6"/>
        <v/>
      </c>
    </row>
    <row r="382" spans="2:13" ht="15" customHeight="1">
      <c r="B382" s="1820" t="s">
        <v>351</v>
      </c>
      <c r="C382" s="1821"/>
      <c r="D382" s="1829"/>
      <c r="E382" s="980" t="s">
        <v>352</v>
      </c>
      <c r="F382" s="976">
        <f>SUM(G382:R382)</f>
        <v>0</v>
      </c>
      <c r="G382" s="982">
        <f>IFERROR(G375+G376+G377*2.58+G378*0+G379*0+G380*0,"")</f>
        <v>0</v>
      </c>
      <c r="H382" s="982" t="str">
        <f t="shared" ref="H382:M382" si="7">IF(H375+H376+H377*2.58+H378*0+H379*0+H380*0=0,"",IFERROR(H375+H376+H377*2.58+H378*0+H379*0+H380*0,""))</f>
        <v/>
      </c>
      <c r="I382" s="982" t="str">
        <f t="shared" si="7"/>
        <v/>
      </c>
      <c r="J382" s="982" t="str">
        <f t="shared" si="7"/>
        <v/>
      </c>
      <c r="K382" s="982" t="str">
        <f t="shared" si="7"/>
        <v/>
      </c>
      <c r="L382" s="982" t="str">
        <f t="shared" si="7"/>
        <v/>
      </c>
      <c r="M382" s="983" t="str">
        <f t="shared" si="7"/>
        <v/>
      </c>
    </row>
    <row r="383" spans="2:13" ht="15" customHeight="1">
      <c r="B383" s="1820" t="s">
        <v>349</v>
      </c>
      <c r="C383" s="1821"/>
      <c r="D383" s="1829"/>
      <c r="E383" s="980" t="s">
        <v>815</v>
      </c>
      <c r="F383" s="984">
        <f>IFERROR(SUM(G382:R382)*1000/F366,"")</f>
        <v>0</v>
      </c>
      <c r="G383" s="985">
        <f t="shared" ref="G383:M383" si="8">IFERROR(G382*1000/G366,"")</f>
        <v>0</v>
      </c>
      <c r="H383" s="985" t="str">
        <f t="shared" si="8"/>
        <v/>
      </c>
      <c r="I383" s="985" t="str">
        <f t="shared" si="8"/>
        <v/>
      </c>
      <c r="J383" s="985" t="str">
        <f t="shared" si="8"/>
        <v/>
      </c>
      <c r="K383" s="985" t="str">
        <f t="shared" si="8"/>
        <v/>
      </c>
      <c r="L383" s="985" t="str">
        <f t="shared" si="8"/>
        <v/>
      </c>
      <c r="M383" s="986" t="str">
        <f t="shared" si="8"/>
        <v/>
      </c>
    </row>
    <row r="384" spans="2:13" ht="15.75" customHeight="1" thickBot="1">
      <c r="B384" s="1901" t="s">
        <v>218</v>
      </c>
      <c r="C384" s="1902"/>
      <c r="D384" s="1903"/>
      <c r="E384" s="999"/>
      <c r="F384" s="1000" t="str">
        <f t="shared" ref="F384:M384" si="9">IF(F383="-","",IF(F383&lt;=50,"A",IF(F383&lt;=90,"B",IF(F383&lt;=150,"C",IF(F383&lt;230,"D",IF(F383&lt;330,"E",IF(F383&lt;=450,"F","")))))))</f>
        <v>A</v>
      </c>
      <c r="G384" s="1001" t="str">
        <f t="shared" si="9"/>
        <v>A</v>
      </c>
      <c r="H384" s="1001" t="str">
        <f t="shared" si="9"/>
        <v/>
      </c>
      <c r="I384" s="1001" t="str">
        <f t="shared" si="9"/>
        <v/>
      </c>
      <c r="J384" s="1001" t="str">
        <f t="shared" si="9"/>
        <v/>
      </c>
      <c r="K384" s="1001" t="str">
        <f t="shared" si="9"/>
        <v/>
      </c>
      <c r="L384" s="1001" t="str">
        <f t="shared" si="9"/>
        <v/>
      </c>
      <c r="M384" s="1002" t="str">
        <f t="shared" si="9"/>
        <v/>
      </c>
    </row>
    <row r="385" spans="2:13" ht="18" thickBot="1">
      <c r="B385" s="1904" t="s">
        <v>199</v>
      </c>
      <c r="C385" s="1905"/>
      <c r="D385" s="1905"/>
      <c r="E385" s="1905"/>
      <c r="F385" s="1905"/>
      <c r="G385" s="1905"/>
      <c r="H385" s="1905"/>
      <c r="I385" s="1905"/>
      <c r="J385" s="1905"/>
      <c r="K385" s="1905"/>
      <c r="L385" s="1905"/>
      <c r="M385" s="1906"/>
    </row>
    <row r="386" spans="2:13">
      <c r="B386" s="992"/>
      <c r="C386" s="1907"/>
      <c r="D386" s="1907"/>
      <c r="E386" s="1907"/>
      <c r="F386" s="1907"/>
      <c r="G386" s="1907"/>
      <c r="H386" s="1907"/>
      <c r="I386" s="1907"/>
      <c r="J386" s="1907"/>
      <c r="K386" s="1907"/>
      <c r="L386" s="1907"/>
      <c r="M386" s="993"/>
    </row>
    <row r="387" spans="2:13">
      <c r="B387" s="994"/>
      <c r="C387" s="1908"/>
      <c r="D387" s="1908"/>
      <c r="E387" s="1908"/>
      <c r="F387" s="1908"/>
      <c r="G387" s="1908"/>
      <c r="H387" s="1908"/>
      <c r="I387" s="1908"/>
      <c r="J387" s="1908"/>
      <c r="K387" s="1908"/>
      <c r="L387" s="1908"/>
      <c r="M387" s="995"/>
    </row>
    <row r="388" spans="2:13" ht="15" thickBot="1">
      <c r="B388" s="996"/>
      <c r="C388" s="1909"/>
      <c r="D388" s="1909"/>
      <c r="E388" s="1909"/>
      <c r="F388" s="1909"/>
      <c r="G388" s="1909"/>
      <c r="H388" s="1909"/>
      <c r="I388" s="1909"/>
      <c r="J388" s="1909"/>
      <c r="K388" s="1909"/>
      <c r="L388" s="1909"/>
      <c r="M388" s="997"/>
    </row>
    <row r="389" spans="2:13" ht="18.600000000000001" thickBot="1">
      <c r="B389" s="1796" t="s">
        <v>363</v>
      </c>
      <c r="C389" s="1797"/>
      <c r="D389" s="1797"/>
      <c r="E389" s="1797"/>
      <c r="F389" s="1797"/>
      <c r="G389" s="1797"/>
      <c r="H389" s="1797"/>
      <c r="I389" s="1797"/>
      <c r="J389" s="1797"/>
      <c r="K389" s="1797"/>
      <c r="L389" s="1797"/>
      <c r="M389" s="1798"/>
    </row>
    <row r="390" spans="2:13" ht="18" thickBot="1">
      <c r="B390" s="900"/>
      <c r="C390" s="901"/>
      <c r="D390" s="901"/>
      <c r="E390" s="901"/>
      <c r="F390" s="901"/>
      <c r="G390" s="901"/>
      <c r="H390" s="902" t="s">
        <v>55</v>
      </c>
      <c r="I390" s="1888" t="s">
        <v>197</v>
      </c>
      <c r="J390" s="1888"/>
      <c r="K390" s="1888" t="s">
        <v>334</v>
      </c>
      <c r="L390" s="1888"/>
      <c r="M390" s="1889"/>
    </row>
    <row r="391" spans="2:13" ht="18" thickBot="1">
      <c r="B391" s="1869" t="s">
        <v>60</v>
      </c>
      <c r="C391" s="1870"/>
      <c r="D391" s="1870"/>
      <c r="E391" s="1870"/>
      <c r="F391" s="1870"/>
      <c r="G391" s="1870"/>
      <c r="H391" s="1870"/>
      <c r="I391" s="1870"/>
      <c r="J391" s="1870"/>
      <c r="K391" s="1870"/>
      <c r="L391" s="1870"/>
      <c r="M391" s="1871"/>
    </row>
    <row r="392" spans="2:13">
      <c r="B392" s="1890" t="s">
        <v>48</v>
      </c>
      <c r="C392" s="1891"/>
      <c r="D392" s="1891"/>
      <c r="E392" s="1891"/>
      <c r="F392" s="1891"/>
      <c r="G392" s="1892"/>
      <c r="H392" s="903"/>
      <c r="I392" s="1875"/>
      <c r="J392" s="1875"/>
      <c r="K392" s="1893"/>
      <c r="L392" s="1893"/>
      <c r="M392" s="1894"/>
    </row>
    <row r="393" spans="2:13">
      <c r="B393" s="1895" t="s">
        <v>49</v>
      </c>
      <c r="C393" s="1896"/>
      <c r="D393" s="1896"/>
      <c r="E393" s="1896"/>
      <c r="F393" s="1896"/>
      <c r="G393" s="1897"/>
      <c r="H393" s="907"/>
      <c r="I393" s="1898"/>
      <c r="J393" s="1898"/>
      <c r="K393" s="1899"/>
      <c r="L393" s="1899"/>
      <c r="M393" s="1900"/>
    </row>
    <row r="394" spans="2:13">
      <c r="B394" s="1878" t="s">
        <v>47</v>
      </c>
      <c r="C394" s="1879"/>
      <c r="D394" s="1879"/>
      <c r="E394" s="1879"/>
      <c r="F394" s="1879"/>
      <c r="G394" s="1880"/>
      <c r="H394" s="908"/>
      <c r="I394" s="1864"/>
      <c r="J394" s="1864"/>
      <c r="K394" s="1881" t="str">
        <f>IF(H394="Qualibois",IF(#REF!&gt;70, "Qualibois correspond si P &lt; 70 kW","Ok"),"")</f>
        <v/>
      </c>
      <c r="L394" s="1881"/>
      <c r="M394" s="1882"/>
    </row>
    <row r="395" spans="2:13" ht="15" thickBot="1">
      <c r="B395" s="1846" t="s">
        <v>50</v>
      </c>
      <c r="C395" s="1847"/>
      <c r="D395" s="1847"/>
      <c r="E395" s="1847"/>
      <c r="F395" s="1847"/>
      <c r="G395" s="1848"/>
      <c r="H395" s="909"/>
      <c r="I395" s="1883"/>
      <c r="J395" s="1883"/>
      <c r="K395" s="1884"/>
      <c r="L395" s="1884"/>
      <c r="M395" s="1885"/>
    </row>
    <row r="396" spans="2:13" ht="18" thickBot="1">
      <c r="B396" s="1869" t="s">
        <v>51</v>
      </c>
      <c r="C396" s="1870"/>
      <c r="D396" s="1870"/>
      <c r="E396" s="1870"/>
      <c r="F396" s="1870"/>
      <c r="G396" s="1870"/>
      <c r="H396" s="1870"/>
      <c r="I396" s="1870"/>
      <c r="J396" s="1870"/>
      <c r="K396" s="1870"/>
      <c r="L396" s="1870"/>
      <c r="M396" s="1871"/>
    </row>
    <row r="397" spans="2:13">
      <c r="B397" s="1872" t="s">
        <v>52</v>
      </c>
      <c r="C397" s="1873"/>
      <c r="D397" s="1873"/>
      <c r="E397" s="1873"/>
      <c r="F397" s="1873"/>
      <c r="G397" s="1874"/>
      <c r="H397" s="912"/>
      <c r="I397" s="1875"/>
      <c r="J397" s="1875"/>
      <c r="K397" s="1886" t="str">
        <f>IF(H397&lt;85%, "Le rendement doit être supérieur à 85%","")</f>
        <v>Le rendement doit être supérieur à 85%</v>
      </c>
      <c r="L397" s="1886"/>
      <c r="M397" s="1887"/>
    </row>
    <row r="398" spans="2:13">
      <c r="B398" s="1861" t="s">
        <v>56</v>
      </c>
      <c r="C398" s="1862"/>
      <c r="D398" s="1862"/>
      <c r="E398" s="1862"/>
      <c r="F398" s="1862"/>
      <c r="G398" s="1863"/>
      <c r="H398" s="913">
        <v>650</v>
      </c>
      <c r="I398" s="1864"/>
      <c r="J398" s="1864"/>
      <c r="K398" s="1844" t="str">
        <f>IF(H398&gt;12000," Ce projet doit être déposé dans AAP","")</f>
        <v/>
      </c>
      <c r="L398" s="1844"/>
      <c r="M398" s="1845"/>
    </row>
    <row r="399" spans="2:13" ht="15" thickBot="1">
      <c r="B399" s="1865" t="s">
        <v>57</v>
      </c>
      <c r="C399" s="1866"/>
      <c r="D399" s="1866"/>
      <c r="E399" s="1866"/>
      <c r="F399" s="1866"/>
      <c r="G399" s="1867"/>
      <c r="H399" s="914"/>
      <c r="I399" s="1868"/>
      <c r="J399" s="1868"/>
      <c r="K399" s="1850" t="str">
        <f>IF(H399="non","Le suivi doit être prévu","")</f>
        <v/>
      </c>
      <c r="L399" s="1850"/>
      <c r="M399" s="1851"/>
    </row>
    <row r="400" spans="2:13" ht="18" thickBot="1">
      <c r="B400" s="1869" t="s">
        <v>58</v>
      </c>
      <c r="C400" s="1870"/>
      <c r="D400" s="1870"/>
      <c r="E400" s="1870"/>
      <c r="F400" s="1870"/>
      <c r="G400" s="1870"/>
      <c r="H400" s="1870"/>
      <c r="I400" s="1870"/>
      <c r="J400" s="1870"/>
      <c r="K400" s="1870"/>
      <c r="L400" s="1870"/>
      <c r="M400" s="1871"/>
    </row>
    <row r="401" spans="2:13">
      <c r="B401" s="1872" t="s">
        <v>59</v>
      </c>
      <c r="C401" s="1873"/>
      <c r="D401" s="1873"/>
      <c r="E401" s="1873"/>
      <c r="F401" s="1873"/>
      <c r="G401" s="1874"/>
      <c r="H401" s="903"/>
      <c r="I401" s="1875"/>
      <c r="J401" s="1875"/>
      <c r="K401" s="1876">
        <f>IF(H401="non", 45,30)</f>
        <v>30</v>
      </c>
      <c r="L401" s="1876"/>
      <c r="M401" s="1877"/>
    </row>
    <row r="402" spans="2:13">
      <c r="B402" s="1840" t="s">
        <v>101</v>
      </c>
      <c r="C402" s="1841"/>
      <c r="D402" s="1841"/>
      <c r="E402" s="1841"/>
      <c r="F402" s="1841"/>
      <c r="G402" s="1842"/>
      <c r="H402" s="919" t="e">
        <f>IF(H401="non", IF(I402&lt;45, "oui", "non"), IF(I402&lt;30, "oui"," non"))</f>
        <v>#REF!</v>
      </c>
      <c r="I402" s="1843" t="e">
        <f>#REF!</f>
        <v>#REF!</v>
      </c>
      <c r="J402" s="1843"/>
      <c r="K402" s="1844" t="e">
        <f>IF(H402="non","Critère non respecté","")</f>
        <v>#REF!</v>
      </c>
      <c r="L402" s="1844"/>
      <c r="M402" s="1845"/>
    </row>
    <row r="403" spans="2:13" ht="15" thickBot="1">
      <c r="B403" s="1846" t="s">
        <v>61</v>
      </c>
      <c r="C403" s="1847"/>
      <c r="D403" s="1847"/>
      <c r="E403" s="1847"/>
      <c r="F403" s="1847"/>
      <c r="G403" s="1848"/>
      <c r="H403" s="920" t="e">
        <f>IF(H401="oui",IF(I403&lt;300, "oui", "non"),IF(#REF!&lt;5000,IF(I403&lt;=500, "oui", "non"),IF(I403&lt;300, "oui", "non")))</f>
        <v>#REF!</v>
      </c>
      <c r="I403" s="1849">
        <v>450</v>
      </c>
      <c r="J403" s="1849"/>
      <c r="K403" s="1850" t="e">
        <f>IF(H403="non","Critère non respecté","")</f>
        <v>#REF!</v>
      </c>
      <c r="L403" s="1850"/>
      <c r="M403" s="1851"/>
    </row>
    <row r="404" spans="2:13" ht="18" thickBot="1">
      <c r="B404" s="1852" t="s">
        <v>62</v>
      </c>
      <c r="C404" s="1853"/>
      <c r="D404" s="1853"/>
      <c r="E404" s="1853"/>
      <c r="F404" s="1853"/>
      <c r="G404" s="1853"/>
      <c r="H404" s="1853"/>
      <c r="I404" s="1853"/>
      <c r="J404" s="1853"/>
      <c r="K404" s="1853"/>
      <c r="L404" s="1853"/>
      <c r="M404" s="1854"/>
    </row>
    <row r="405" spans="2:13" ht="15" thickBot="1">
      <c r="B405" s="1855" t="str">
        <f>IF(ISBLANK(#REF!),"","13% de bois certifiés dans la part de consommation C1+C2?")</f>
        <v>13% de bois certifiés dans la part de consommation C1+C2?</v>
      </c>
      <c r="C405" s="1856"/>
      <c r="D405" s="1856"/>
      <c r="E405" s="1856"/>
      <c r="F405" s="1856"/>
      <c r="G405" s="1857"/>
      <c r="H405" s="922"/>
      <c r="I405" s="1858"/>
      <c r="J405" s="1858"/>
      <c r="K405" s="1859" t="str">
        <f>IF(H405="non","Critère non respecté","")</f>
        <v/>
      </c>
      <c r="L405" s="1859"/>
      <c r="M405" s="1860"/>
    </row>
    <row r="406" spans="2:13">
      <c r="B406" s="11"/>
      <c r="C406" s="11"/>
      <c r="D406" s="11"/>
      <c r="E406" s="11"/>
      <c r="F406" s="11"/>
      <c r="G406" s="11"/>
      <c r="H406" s="7"/>
      <c r="I406" s="7"/>
      <c r="J406" s="7"/>
      <c r="K406" s="7"/>
      <c r="L406" s="1"/>
      <c r="M406" s="1"/>
    </row>
    <row r="407" spans="2:13">
      <c r="B407" s="11"/>
      <c r="C407" s="11"/>
      <c r="D407" s="11"/>
      <c r="E407" s="11"/>
      <c r="F407" s="11"/>
      <c r="G407" s="11"/>
      <c r="H407" s="7"/>
      <c r="I407" s="7"/>
      <c r="J407" s="7"/>
      <c r="K407" s="7"/>
      <c r="L407" s="1"/>
      <c r="M407" s="1"/>
    </row>
    <row r="408" spans="2:13" ht="15" thickBot="1">
      <c r="B408" s="11"/>
      <c r="C408" s="11"/>
      <c r="D408" s="11"/>
      <c r="E408" s="11"/>
      <c r="F408" s="11"/>
      <c r="G408" s="11"/>
      <c r="H408" s="7"/>
      <c r="I408" s="7"/>
      <c r="J408" s="7"/>
      <c r="K408" s="7"/>
      <c r="L408" s="1"/>
      <c r="M408" s="1"/>
    </row>
    <row r="409" spans="2:13" ht="18.600000000000001" thickBot="1">
      <c r="B409" s="1796" t="s">
        <v>364</v>
      </c>
      <c r="C409" s="1797"/>
      <c r="D409" s="1797"/>
      <c r="E409" s="1797"/>
      <c r="F409" s="1797"/>
      <c r="G409" s="1797"/>
      <c r="H409" s="1797"/>
      <c r="I409" s="1797"/>
      <c r="J409" s="1797"/>
      <c r="K409" s="1797"/>
      <c r="L409" s="1797"/>
      <c r="M409" s="1798"/>
    </row>
    <row r="410" spans="2:13" ht="18" thickBot="1">
      <c r="B410" s="1833" t="s">
        <v>63</v>
      </c>
      <c r="C410" s="1834"/>
      <c r="D410" s="1834"/>
      <c r="E410" s="923" t="s">
        <v>64</v>
      </c>
      <c r="F410" s="923" t="s">
        <v>103</v>
      </c>
      <c r="G410" s="923" t="s">
        <v>207</v>
      </c>
      <c r="H410" s="1835" t="s">
        <v>342</v>
      </c>
      <c r="I410" s="1836"/>
      <c r="J410" s="1836"/>
      <c r="K410" s="1836"/>
      <c r="L410" s="1836"/>
      <c r="M410" s="1837"/>
    </row>
    <row r="411" spans="2:13" ht="15" thickBot="1">
      <c r="B411" s="1838" t="s">
        <v>102</v>
      </c>
      <c r="C411" s="1838"/>
      <c r="D411" s="1839"/>
      <c r="E411" s="924">
        <v>0</v>
      </c>
      <c r="F411" s="925" t="e">
        <f t="shared" ref="F411:F418" si="10">E411/$E$211</f>
        <v>#DIV/0!</v>
      </c>
      <c r="G411" s="926" t="s">
        <v>209</v>
      </c>
      <c r="H411" s="927"/>
      <c r="I411" s="927"/>
      <c r="J411" s="927"/>
      <c r="K411" s="927"/>
      <c r="L411" s="927"/>
      <c r="M411" s="928"/>
    </row>
    <row r="412" spans="2:13" ht="15" thickBot="1">
      <c r="B412" s="1838" t="s">
        <v>65</v>
      </c>
      <c r="C412" s="1838"/>
      <c r="D412" s="1839"/>
      <c r="E412" s="929">
        <f>SUM(E413:E417)</f>
        <v>0</v>
      </c>
      <c r="F412" s="925" t="e">
        <f t="shared" si="10"/>
        <v>#DIV/0!</v>
      </c>
      <c r="G412" s="926"/>
      <c r="H412" s="930"/>
      <c r="I412" s="930"/>
      <c r="J412" s="930"/>
      <c r="K412" s="930"/>
      <c r="L412" s="930"/>
      <c r="M412" s="931"/>
    </row>
    <row r="413" spans="2:13">
      <c r="B413" s="1788" t="s">
        <v>68</v>
      </c>
      <c r="C413" s="1788"/>
      <c r="D413" s="1789"/>
      <c r="E413" s="932">
        <f>G_subventionADEME</f>
        <v>0</v>
      </c>
      <c r="F413" s="925" t="e">
        <f t="shared" si="10"/>
        <v>#DIV/0!</v>
      </c>
      <c r="G413" s="926"/>
      <c r="H413" s="930"/>
      <c r="I413" s="930"/>
      <c r="J413" s="930"/>
      <c r="K413" s="930"/>
      <c r="L413" s="930"/>
      <c r="M413" s="931"/>
    </row>
    <row r="414" spans="2:13">
      <c r="B414" s="1788" t="s">
        <v>66</v>
      </c>
      <c r="C414" s="1788"/>
      <c r="D414" s="1789"/>
      <c r="E414" s="933">
        <v>0</v>
      </c>
      <c r="F414" s="925" t="e">
        <f t="shared" si="10"/>
        <v>#DIV/0!</v>
      </c>
      <c r="G414" s="926"/>
      <c r="H414" s="930"/>
      <c r="I414" s="930"/>
      <c r="J414" s="930"/>
      <c r="K414" s="930"/>
      <c r="L414" s="930"/>
      <c r="M414" s="931"/>
    </row>
    <row r="415" spans="2:13">
      <c r="B415" s="1788" t="s">
        <v>69</v>
      </c>
      <c r="C415" s="1788"/>
      <c r="D415" s="1789"/>
      <c r="E415" s="933">
        <v>0</v>
      </c>
      <c r="F415" s="925" t="e">
        <f t="shared" si="10"/>
        <v>#DIV/0!</v>
      </c>
      <c r="G415" s="926"/>
      <c r="H415" s="930"/>
      <c r="I415" s="930"/>
      <c r="J415" s="930"/>
      <c r="K415" s="930"/>
      <c r="L415" s="930"/>
      <c r="M415" s="931"/>
    </row>
    <row r="416" spans="2:13">
      <c r="B416" s="1788" t="s">
        <v>70</v>
      </c>
      <c r="C416" s="1788"/>
      <c r="D416" s="1789"/>
      <c r="E416" s="933">
        <v>0</v>
      </c>
      <c r="F416" s="925" t="e">
        <f t="shared" si="10"/>
        <v>#DIV/0!</v>
      </c>
      <c r="G416" s="926"/>
      <c r="H416" s="930"/>
      <c r="I416" s="930"/>
      <c r="J416" s="930"/>
      <c r="K416" s="930"/>
      <c r="L416" s="930"/>
      <c r="M416" s="931"/>
    </row>
    <row r="417" spans="1:13" ht="15" thickBot="1">
      <c r="B417" s="1788" t="s">
        <v>67</v>
      </c>
      <c r="C417" s="1788"/>
      <c r="D417" s="1789"/>
      <c r="E417" s="934">
        <v>0</v>
      </c>
      <c r="F417" s="925" t="e">
        <f t="shared" si="10"/>
        <v>#DIV/0!</v>
      </c>
      <c r="G417" s="926"/>
      <c r="H417" s="930"/>
      <c r="I417" s="930"/>
      <c r="J417" s="930"/>
      <c r="K417" s="930"/>
      <c r="L417" s="930"/>
      <c r="M417" s="931"/>
    </row>
    <row r="418" spans="1:13" ht="15" thickBot="1">
      <c r="B418" s="1790" t="s">
        <v>71</v>
      </c>
      <c r="C418" s="1790"/>
      <c r="D418" s="1791"/>
      <c r="E418" s="935">
        <v>0</v>
      </c>
      <c r="F418" s="936" t="e">
        <f t="shared" si="10"/>
        <v>#DIV/0!</v>
      </c>
      <c r="G418" s="937"/>
      <c r="H418" s="930"/>
      <c r="I418" s="930"/>
      <c r="J418" s="930"/>
      <c r="K418" s="930"/>
      <c r="L418" s="930"/>
      <c r="M418" s="931"/>
    </row>
    <row r="419" spans="1:13" ht="15" thickBot="1">
      <c r="B419" s="1792" t="s">
        <v>810</v>
      </c>
      <c r="C419" s="1793"/>
      <c r="D419" s="1793"/>
      <c r="E419" s="929">
        <f>SUM(E411:E411,E412,E418)</f>
        <v>0</v>
      </c>
      <c r="F419" s="1794" t="str">
        <f>IF(E419&lt;&gt;F385,"Vous n'avez pas le même investissement dans le tableau 4"," RAS")</f>
        <v xml:space="preserve"> RAS</v>
      </c>
      <c r="G419" s="1794"/>
      <c r="H419" s="1794"/>
      <c r="I419" s="1794"/>
      <c r="J419" s="1794"/>
      <c r="K419" s="1794"/>
      <c r="L419" s="1794"/>
      <c r="M419" s="1795"/>
    </row>
    <row r="420" spans="1:13">
      <c r="A420" s="10"/>
      <c r="B420" s="10"/>
      <c r="C420" s="10"/>
      <c r="D420" s="10"/>
      <c r="E420" s="10"/>
      <c r="F420" s="10"/>
      <c r="G420" s="10"/>
      <c r="H420" s="10"/>
      <c r="I420" s="10"/>
      <c r="J420" s="10"/>
      <c r="K420" s="10"/>
      <c r="L420" s="10"/>
      <c r="M420" s="10"/>
    </row>
    <row r="421" spans="1:13">
      <c r="A421" s="10"/>
      <c r="B421" s="10"/>
      <c r="C421" s="10"/>
      <c r="D421" s="10"/>
      <c r="E421" s="10"/>
      <c r="F421" s="10"/>
      <c r="G421" s="10"/>
      <c r="H421" s="10"/>
      <c r="I421" s="10"/>
      <c r="J421" s="10"/>
      <c r="K421" s="10"/>
      <c r="L421" s="10"/>
      <c r="M421" s="10"/>
    </row>
    <row r="422" spans="1:13">
      <c r="A422" s="10"/>
      <c r="B422" s="10"/>
      <c r="C422" s="10"/>
      <c r="D422" s="10"/>
      <c r="E422" s="10"/>
      <c r="F422" s="10"/>
      <c r="G422" s="10"/>
      <c r="H422" s="10"/>
      <c r="I422" s="10"/>
      <c r="J422" s="10"/>
      <c r="K422" s="10"/>
      <c r="L422" s="10"/>
      <c r="M422" s="10"/>
    </row>
    <row r="423" spans="1:13">
      <c r="A423" s="10"/>
      <c r="B423" s="10"/>
      <c r="C423" s="10"/>
      <c r="D423" s="10"/>
      <c r="E423" s="10"/>
      <c r="F423" s="10"/>
      <c r="G423" s="10"/>
      <c r="H423" s="10"/>
      <c r="I423" s="10"/>
      <c r="J423" s="10"/>
      <c r="K423" s="10"/>
      <c r="L423" s="10"/>
      <c r="M423" s="10"/>
    </row>
    <row r="424" spans="1:13">
      <c r="A424" s="10"/>
      <c r="B424" s="10"/>
      <c r="C424" s="10"/>
      <c r="D424" s="10"/>
      <c r="E424" s="10"/>
      <c r="F424" s="10"/>
      <c r="G424" s="10"/>
      <c r="H424" s="10"/>
      <c r="I424" s="10"/>
      <c r="J424" s="10"/>
      <c r="K424" s="10"/>
      <c r="L424" s="10"/>
      <c r="M424" s="10"/>
    </row>
    <row r="425" spans="1:13">
      <c r="A425" s="10"/>
      <c r="B425" s="10"/>
      <c r="C425" s="10"/>
      <c r="D425" s="10"/>
      <c r="E425" s="10"/>
      <c r="F425" s="10"/>
      <c r="G425" s="10"/>
      <c r="H425" s="10"/>
      <c r="I425" s="10"/>
      <c r="J425" s="10"/>
      <c r="K425" s="10"/>
      <c r="L425" s="10"/>
      <c r="M425" s="10"/>
    </row>
    <row r="426" spans="1:13">
      <c r="A426" s="10"/>
      <c r="B426" s="10"/>
      <c r="C426" s="10"/>
      <c r="D426" s="10"/>
      <c r="E426" s="10"/>
      <c r="F426" s="10"/>
      <c r="G426" s="10"/>
      <c r="H426" s="10"/>
      <c r="I426" s="10"/>
      <c r="J426" s="10"/>
      <c r="K426" s="10"/>
      <c r="L426" s="10"/>
      <c r="M426" s="10"/>
    </row>
    <row r="427" spans="1:13">
      <c r="B427" s="10"/>
      <c r="C427" s="10"/>
      <c r="D427" s="10"/>
      <c r="E427" s="10"/>
      <c r="F427" s="10"/>
      <c r="G427" s="10"/>
      <c r="H427" s="10"/>
      <c r="I427" s="10"/>
      <c r="J427" s="10"/>
      <c r="K427" s="10"/>
      <c r="L427" s="10"/>
      <c r="M427" s="10"/>
    </row>
    <row r="428" spans="1:13">
      <c r="B428" s="10"/>
      <c r="C428" s="10"/>
      <c r="D428" s="10"/>
      <c r="E428" s="10"/>
      <c r="F428" s="10"/>
      <c r="G428" s="10"/>
      <c r="H428" s="10"/>
      <c r="I428" s="10"/>
      <c r="J428" s="10"/>
      <c r="K428" s="10"/>
      <c r="L428" s="10"/>
      <c r="M428" s="10"/>
    </row>
    <row r="429" spans="1:13">
      <c r="B429" s="10"/>
      <c r="C429" s="10"/>
      <c r="D429" s="10"/>
      <c r="E429" s="10"/>
      <c r="F429" s="10"/>
      <c r="G429" s="10"/>
      <c r="H429" s="10"/>
      <c r="I429" s="10"/>
      <c r="J429" s="10"/>
      <c r="K429" s="10"/>
      <c r="L429" s="10"/>
      <c r="M429" s="10"/>
    </row>
    <row r="430" spans="1:13">
      <c r="B430" s="10"/>
      <c r="C430" s="10"/>
      <c r="D430" s="10"/>
      <c r="E430" s="10"/>
      <c r="F430" s="10"/>
      <c r="G430" s="10"/>
      <c r="H430" s="10"/>
      <c r="I430" s="10"/>
      <c r="J430" s="10"/>
      <c r="K430" s="10"/>
      <c r="L430" s="10"/>
      <c r="M430" s="10"/>
    </row>
    <row r="431" spans="1:13">
      <c r="B431" s="10"/>
      <c r="C431" s="10"/>
      <c r="D431" s="10"/>
      <c r="E431" s="10"/>
      <c r="F431" s="10"/>
      <c r="G431" s="10"/>
      <c r="H431" s="10"/>
      <c r="I431" s="10"/>
      <c r="J431" s="10"/>
      <c r="K431" s="10"/>
      <c r="L431" s="10"/>
      <c r="M431" s="10"/>
    </row>
    <row r="432" spans="1:13">
      <c r="B432" s="10"/>
      <c r="C432" s="10"/>
      <c r="D432" s="10"/>
      <c r="E432" s="10"/>
      <c r="F432" s="10"/>
      <c r="G432" s="10"/>
      <c r="H432" s="10"/>
      <c r="I432" s="10"/>
      <c r="J432" s="10"/>
      <c r="K432" s="10"/>
      <c r="L432" s="10"/>
      <c r="M432" s="10"/>
    </row>
    <row r="433" spans="2:13">
      <c r="B433" s="10"/>
      <c r="C433" s="10"/>
      <c r="D433" s="10"/>
      <c r="E433" s="10"/>
      <c r="F433" s="10"/>
      <c r="G433" s="10"/>
      <c r="H433" s="10"/>
      <c r="I433" s="10"/>
      <c r="J433" s="10"/>
      <c r="K433" s="10"/>
      <c r="L433" s="10"/>
      <c r="M433" s="10"/>
    </row>
    <row r="434" spans="2:13">
      <c r="B434" s="10"/>
      <c r="C434" s="10"/>
      <c r="D434" s="10"/>
      <c r="E434" s="10"/>
      <c r="F434" s="10"/>
      <c r="G434" s="10"/>
      <c r="H434" s="10"/>
      <c r="I434" s="10"/>
      <c r="J434" s="10"/>
      <c r="K434" s="10"/>
      <c r="L434" s="10"/>
      <c r="M434" s="10"/>
    </row>
    <row r="435" spans="2:13">
      <c r="B435" s="10"/>
      <c r="C435" s="10"/>
      <c r="D435" s="10"/>
      <c r="E435" s="10"/>
      <c r="F435" s="10"/>
      <c r="G435" s="10"/>
      <c r="H435" s="10"/>
      <c r="I435" s="10"/>
      <c r="J435" s="10"/>
      <c r="K435" s="10"/>
      <c r="L435" s="10"/>
      <c r="M435" s="10"/>
    </row>
    <row r="436" spans="2:13">
      <c r="B436" s="10"/>
      <c r="C436" s="10"/>
      <c r="D436" s="10"/>
      <c r="E436" s="10"/>
      <c r="F436" s="10"/>
      <c r="G436" s="10"/>
      <c r="H436" s="10"/>
      <c r="I436" s="10"/>
      <c r="J436" s="10"/>
      <c r="K436" s="10"/>
      <c r="L436" s="10"/>
      <c r="M436" s="10"/>
    </row>
    <row r="437" spans="2:13">
      <c r="B437" s="10"/>
      <c r="C437" s="10"/>
      <c r="D437" s="10"/>
      <c r="E437" s="10"/>
      <c r="F437" s="10"/>
      <c r="G437" s="10"/>
      <c r="H437" s="10"/>
      <c r="I437" s="10"/>
      <c r="J437" s="10"/>
      <c r="K437" s="10"/>
      <c r="L437" s="10"/>
      <c r="M437" s="10"/>
    </row>
    <row r="438" spans="2:13">
      <c r="B438" s="10"/>
      <c r="C438" s="10"/>
      <c r="D438" s="10"/>
      <c r="E438" s="10"/>
      <c r="F438" s="10"/>
      <c r="G438" s="10"/>
      <c r="H438" s="10"/>
      <c r="I438" s="10"/>
      <c r="J438" s="10"/>
      <c r="K438" s="10"/>
      <c r="L438" s="10"/>
      <c r="M438" s="10"/>
    </row>
    <row r="439" spans="2:13">
      <c r="B439" s="10"/>
      <c r="C439" s="10"/>
      <c r="D439" s="10"/>
      <c r="E439" s="10"/>
      <c r="F439" s="10"/>
      <c r="G439" s="10"/>
      <c r="H439" s="10"/>
      <c r="I439" s="10"/>
      <c r="J439" s="10"/>
      <c r="K439" s="10"/>
      <c r="L439" s="10"/>
      <c r="M439" s="10"/>
    </row>
    <row r="440" spans="2:13">
      <c r="B440" s="10"/>
      <c r="C440" s="10"/>
      <c r="D440" s="10"/>
      <c r="E440" s="10"/>
      <c r="F440" s="10"/>
      <c r="G440" s="10"/>
      <c r="H440" s="10"/>
      <c r="I440" s="10"/>
      <c r="J440" s="10"/>
      <c r="K440" s="10"/>
      <c r="L440" s="10"/>
      <c r="M440" s="10"/>
    </row>
    <row r="441" spans="2:13">
      <c r="B441" s="10"/>
      <c r="C441" s="10"/>
      <c r="D441" s="10"/>
      <c r="E441" s="10"/>
      <c r="F441" s="10"/>
      <c r="G441" s="10"/>
      <c r="H441" s="10"/>
      <c r="I441" s="10"/>
      <c r="J441" s="10"/>
      <c r="K441" s="10"/>
      <c r="L441" s="10"/>
      <c r="M441" s="10"/>
    </row>
    <row r="442" spans="2:13">
      <c r="B442" s="10"/>
      <c r="C442" s="10"/>
      <c r="D442" s="10"/>
      <c r="E442" s="10"/>
      <c r="F442" s="10"/>
      <c r="G442" s="10"/>
      <c r="H442" s="10"/>
      <c r="I442" s="10"/>
      <c r="J442" s="10"/>
      <c r="K442" s="10"/>
      <c r="L442" s="10"/>
      <c r="M442" s="10"/>
    </row>
    <row r="443" spans="2:13">
      <c r="B443" s="10"/>
      <c r="C443" s="10"/>
      <c r="D443" s="10"/>
      <c r="E443" s="10"/>
      <c r="F443" s="10"/>
      <c r="G443" s="10"/>
      <c r="H443" s="10"/>
      <c r="I443" s="10"/>
      <c r="J443" s="10"/>
      <c r="K443" s="10"/>
      <c r="L443" s="10"/>
      <c r="M443" s="10"/>
    </row>
    <row r="444" spans="2:13">
      <c r="B444" s="10"/>
      <c r="C444" s="10"/>
      <c r="D444" s="10"/>
      <c r="E444" s="10"/>
      <c r="F444" s="10"/>
      <c r="G444" s="10"/>
      <c r="H444" s="10"/>
      <c r="I444" s="10"/>
      <c r="J444" s="10"/>
      <c r="K444" s="10"/>
      <c r="L444" s="10"/>
      <c r="M444" s="10"/>
    </row>
    <row r="445" spans="2:13">
      <c r="B445" s="10"/>
      <c r="C445" s="10"/>
      <c r="D445" s="10"/>
      <c r="E445" s="10"/>
      <c r="F445" s="10"/>
      <c r="G445" s="10"/>
      <c r="H445" s="10"/>
      <c r="I445" s="10"/>
      <c r="J445" s="10"/>
      <c r="K445" s="10"/>
      <c r="L445" s="10"/>
      <c r="M445" s="10"/>
    </row>
    <row r="446" spans="2:13">
      <c r="B446" s="10"/>
      <c r="C446" s="10"/>
      <c r="D446" s="10"/>
      <c r="E446" s="10"/>
      <c r="F446" s="10"/>
      <c r="G446" s="10"/>
      <c r="H446" s="10"/>
      <c r="I446" s="10"/>
      <c r="J446" s="10"/>
      <c r="K446" s="10"/>
      <c r="L446" s="10"/>
      <c r="M446" s="10"/>
    </row>
    <row r="447" spans="2:13">
      <c r="B447" s="10"/>
      <c r="C447" s="10"/>
      <c r="D447" s="10"/>
      <c r="E447" s="10"/>
      <c r="F447" s="10"/>
      <c r="G447" s="10"/>
      <c r="H447" s="10"/>
      <c r="I447" s="10"/>
      <c r="J447" s="10"/>
      <c r="K447" s="10"/>
      <c r="L447" s="10"/>
      <c r="M447" s="10"/>
    </row>
    <row r="448" spans="2:13">
      <c r="B448" s="10"/>
      <c r="C448" s="10"/>
      <c r="D448" s="10"/>
      <c r="E448" s="10"/>
      <c r="F448" s="10"/>
      <c r="G448" s="10"/>
      <c r="H448" s="10"/>
      <c r="I448" s="10"/>
      <c r="J448" s="10"/>
      <c r="K448" s="10"/>
      <c r="L448" s="10"/>
      <c r="M448" s="10"/>
    </row>
    <row r="449" spans="2:13">
      <c r="B449" s="10"/>
      <c r="C449" s="10"/>
      <c r="D449" s="10"/>
      <c r="E449" s="10"/>
      <c r="F449" s="10"/>
      <c r="G449" s="10"/>
      <c r="H449" s="10"/>
      <c r="I449" s="10"/>
      <c r="J449" s="10"/>
      <c r="K449" s="10"/>
      <c r="L449" s="10"/>
      <c r="M449" s="10"/>
    </row>
    <row r="450" spans="2:13">
      <c r="B450" s="10"/>
      <c r="C450" s="10"/>
      <c r="D450" s="10"/>
      <c r="E450" s="10"/>
      <c r="F450" s="10"/>
      <c r="G450" s="10"/>
      <c r="H450" s="10"/>
      <c r="I450" s="10"/>
      <c r="J450" s="10"/>
      <c r="K450" s="10"/>
      <c r="L450" s="10"/>
      <c r="M450" s="10"/>
    </row>
    <row r="451" spans="2:13">
      <c r="B451" s="10"/>
      <c r="C451" s="10"/>
      <c r="D451" s="10"/>
      <c r="E451" s="10"/>
      <c r="F451" s="10"/>
      <c r="G451" s="10"/>
      <c r="H451" s="10"/>
      <c r="I451" s="10"/>
      <c r="J451" s="10"/>
      <c r="K451" s="10"/>
      <c r="L451" s="10"/>
      <c r="M451" s="10"/>
    </row>
    <row r="452" spans="2:13">
      <c r="B452" s="10"/>
      <c r="C452" s="10"/>
      <c r="D452" s="10"/>
      <c r="E452" s="10"/>
      <c r="F452" s="10"/>
      <c r="G452" s="10"/>
      <c r="H452" s="10"/>
      <c r="I452" s="10"/>
      <c r="J452" s="10"/>
      <c r="K452" s="10"/>
      <c r="L452" s="10"/>
      <c r="M452" s="10"/>
    </row>
    <row r="453" spans="2:13">
      <c r="B453" s="10"/>
      <c r="C453" s="10"/>
      <c r="D453" s="10"/>
      <c r="E453" s="10"/>
      <c r="F453" s="10"/>
      <c r="G453" s="10"/>
      <c r="H453" s="10"/>
      <c r="I453" s="10"/>
      <c r="J453" s="10"/>
      <c r="K453" s="10"/>
      <c r="L453" s="10"/>
      <c r="M453" s="10"/>
    </row>
    <row r="454" spans="2:13">
      <c r="B454" s="10"/>
      <c r="C454" s="10"/>
      <c r="D454" s="10"/>
      <c r="E454" s="10"/>
      <c r="F454" s="10"/>
      <c r="G454" s="10"/>
      <c r="H454" s="10"/>
      <c r="I454" s="10"/>
      <c r="J454" s="10"/>
      <c r="K454" s="10"/>
      <c r="L454" s="10"/>
      <c r="M454" s="10"/>
    </row>
    <row r="455" spans="2:13">
      <c r="B455" s="10"/>
      <c r="C455" s="10"/>
      <c r="D455" s="10"/>
      <c r="E455" s="10"/>
      <c r="F455" s="10"/>
      <c r="G455" s="10"/>
      <c r="H455" s="10"/>
      <c r="I455" s="10"/>
      <c r="J455" s="10"/>
      <c r="K455" s="10"/>
      <c r="L455" s="10"/>
      <c r="M455" s="10"/>
    </row>
    <row r="456" spans="2:13">
      <c r="B456" s="10"/>
      <c r="C456" s="10"/>
      <c r="D456" s="10"/>
      <c r="E456" s="10"/>
      <c r="F456" s="10"/>
      <c r="G456" s="10"/>
      <c r="H456" s="10"/>
      <c r="I456" s="10"/>
      <c r="J456" s="10"/>
      <c r="K456" s="10"/>
      <c r="L456" s="10"/>
      <c r="M456" s="10"/>
    </row>
    <row r="457" spans="2:13">
      <c r="B457" s="10"/>
      <c r="C457" s="10"/>
      <c r="D457" s="10"/>
      <c r="E457" s="10"/>
      <c r="F457" s="10"/>
      <c r="G457" s="10"/>
      <c r="H457" s="10"/>
      <c r="I457" s="10"/>
      <c r="J457" s="10"/>
      <c r="K457" s="10"/>
      <c r="L457" s="10"/>
      <c r="M457" s="10"/>
    </row>
    <row r="458" spans="2:13">
      <c r="B458" s="10"/>
      <c r="C458" s="10"/>
      <c r="D458" s="10"/>
      <c r="E458" s="10"/>
      <c r="F458" s="10"/>
      <c r="G458" s="10"/>
      <c r="H458" s="10"/>
      <c r="I458" s="10"/>
      <c r="J458" s="10"/>
      <c r="K458" s="10"/>
      <c r="L458" s="10"/>
      <c r="M458" s="10"/>
    </row>
    <row r="459" spans="2:13">
      <c r="B459" s="10"/>
      <c r="C459" s="10"/>
      <c r="D459" s="10"/>
      <c r="E459" s="10"/>
      <c r="F459" s="10"/>
      <c r="G459" s="10"/>
      <c r="H459" s="10"/>
      <c r="I459" s="10"/>
      <c r="J459" s="10"/>
      <c r="K459" s="10"/>
      <c r="L459" s="10"/>
      <c r="M459" s="10"/>
    </row>
    <row r="460" spans="2:13">
      <c r="B460" s="10"/>
      <c r="C460" s="10"/>
      <c r="D460" s="10"/>
      <c r="E460" s="10"/>
      <c r="F460" s="10"/>
      <c r="G460" s="10"/>
      <c r="H460" s="10"/>
      <c r="I460" s="10"/>
      <c r="J460" s="10"/>
      <c r="K460" s="10"/>
      <c r="L460" s="10"/>
      <c r="M460" s="10"/>
    </row>
    <row r="461" spans="2:13">
      <c r="B461" s="10"/>
      <c r="C461" s="10"/>
      <c r="D461" s="10"/>
      <c r="E461" s="10"/>
      <c r="F461" s="10"/>
      <c r="G461" s="10"/>
      <c r="H461" s="10"/>
      <c r="I461" s="10"/>
      <c r="J461" s="10"/>
      <c r="K461" s="10"/>
      <c r="L461" s="10"/>
      <c r="M461" s="10"/>
    </row>
    <row r="462" spans="2:13">
      <c r="B462" s="10"/>
      <c r="C462" s="10"/>
      <c r="D462" s="10"/>
      <c r="E462" s="10"/>
      <c r="F462" s="10"/>
      <c r="G462" s="10"/>
      <c r="H462" s="10"/>
      <c r="I462" s="10"/>
      <c r="J462" s="10"/>
      <c r="K462" s="10"/>
      <c r="L462" s="10"/>
      <c r="M462" s="10"/>
    </row>
    <row r="463" spans="2:13">
      <c r="B463" s="10"/>
      <c r="C463" s="10"/>
      <c r="D463" s="10"/>
      <c r="E463" s="10"/>
      <c r="F463" s="10"/>
      <c r="G463" s="10"/>
      <c r="H463" s="10"/>
      <c r="I463" s="10"/>
      <c r="J463" s="10"/>
      <c r="K463" s="10"/>
      <c r="L463" s="10"/>
      <c r="M463" s="10"/>
    </row>
    <row r="464" spans="2:13">
      <c r="B464" s="10"/>
      <c r="C464" s="10"/>
      <c r="D464" s="10"/>
      <c r="E464" s="10"/>
      <c r="F464" s="10"/>
      <c r="G464" s="10"/>
      <c r="H464" s="10"/>
      <c r="I464" s="10"/>
      <c r="J464" s="10"/>
      <c r="K464" s="10"/>
      <c r="L464" s="10"/>
      <c r="M464" s="10"/>
    </row>
    <row r="465" spans="2:13">
      <c r="B465" s="10"/>
      <c r="C465" s="10"/>
      <c r="D465" s="10"/>
      <c r="E465" s="10"/>
      <c r="F465" s="10"/>
      <c r="G465" s="10"/>
      <c r="H465" s="10"/>
      <c r="I465" s="10"/>
      <c r="J465" s="10"/>
      <c r="K465" s="10"/>
      <c r="L465" s="10"/>
      <c r="M465" s="10"/>
    </row>
    <row r="466" spans="2:13">
      <c r="B466" s="10"/>
      <c r="C466" s="10"/>
      <c r="D466" s="10"/>
      <c r="E466" s="10"/>
      <c r="F466" s="10"/>
      <c r="G466" s="10"/>
      <c r="H466" s="10"/>
      <c r="I466" s="10"/>
      <c r="J466" s="10"/>
      <c r="K466" s="10"/>
      <c r="L466" s="10"/>
      <c r="M466" s="10"/>
    </row>
    <row r="467" spans="2:13">
      <c r="B467" s="10"/>
      <c r="C467" s="10"/>
      <c r="D467" s="10"/>
      <c r="E467" s="10"/>
      <c r="F467" s="10"/>
      <c r="G467" s="10"/>
      <c r="H467" s="10"/>
      <c r="I467" s="10"/>
      <c r="J467" s="10"/>
      <c r="K467" s="10"/>
      <c r="L467" s="10"/>
      <c r="M467" s="10"/>
    </row>
    <row r="468" spans="2:13">
      <c r="B468" s="10"/>
      <c r="C468" s="10"/>
      <c r="D468" s="10"/>
      <c r="E468" s="10"/>
      <c r="F468" s="10"/>
      <c r="G468" s="10"/>
      <c r="H468" s="10"/>
      <c r="I468" s="10"/>
      <c r="J468" s="10"/>
      <c r="K468" s="10"/>
      <c r="L468" s="10"/>
      <c r="M468" s="10"/>
    </row>
    <row r="469" spans="2:13">
      <c r="B469" s="10"/>
      <c r="C469" s="10"/>
      <c r="D469" s="10"/>
      <c r="E469" s="10"/>
      <c r="F469" s="10"/>
      <c r="G469" s="10"/>
      <c r="H469" s="10"/>
      <c r="I469" s="10"/>
      <c r="J469" s="10"/>
      <c r="K469" s="10"/>
      <c r="L469" s="10"/>
      <c r="M469" s="10"/>
    </row>
    <row r="470" spans="2:13">
      <c r="B470" s="10"/>
      <c r="C470" s="10"/>
      <c r="D470" s="10"/>
      <c r="E470" s="10"/>
      <c r="F470" s="10"/>
      <c r="G470" s="10"/>
      <c r="H470" s="10"/>
      <c r="I470" s="10"/>
      <c r="J470" s="10"/>
      <c r="K470" s="10"/>
      <c r="L470" s="10"/>
      <c r="M470" s="10"/>
    </row>
    <row r="471" spans="2:13">
      <c r="B471" s="10"/>
      <c r="C471" s="10"/>
      <c r="D471" s="10"/>
      <c r="E471" s="10"/>
      <c r="F471" s="10"/>
      <c r="G471" s="10"/>
      <c r="H471" s="10"/>
      <c r="I471" s="10"/>
      <c r="J471" s="10"/>
      <c r="K471" s="10"/>
      <c r="L471" s="10"/>
      <c r="M471" s="10"/>
    </row>
    <row r="472" spans="2:13">
      <c r="B472" s="10"/>
      <c r="C472" s="10"/>
      <c r="D472" s="10"/>
      <c r="E472" s="10"/>
      <c r="F472" s="10"/>
      <c r="G472" s="10"/>
      <c r="H472" s="10"/>
      <c r="I472" s="10"/>
      <c r="J472" s="10"/>
      <c r="K472" s="10"/>
      <c r="L472" s="10"/>
      <c r="M472" s="10"/>
    </row>
    <row r="473" spans="2:13">
      <c r="B473" s="10"/>
      <c r="C473" s="10"/>
      <c r="D473" s="10"/>
      <c r="E473" s="10"/>
      <c r="F473" s="10"/>
      <c r="G473" s="10"/>
      <c r="H473" s="10"/>
      <c r="I473" s="10"/>
      <c r="J473" s="10"/>
      <c r="K473" s="10"/>
      <c r="L473" s="10"/>
      <c r="M473" s="10"/>
    </row>
    <row r="474" spans="2:13">
      <c r="B474" s="10"/>
      <c r="C474" s="10"/>
      <c r="D474" s="10"/>
      <c r="E474" s="10"/>
      <c r="F474" s="10"/>
      <c r="G474" s="10"/>
      <c r="H474" s="10"/>
      <c r="I474" s="10"/>
      <c r="J474" s="10"/>
      <c r="K474" s="10"/>
      <c r="L474" s="10"/>
      <c r="M474" s="10"/>
    </row>
    <row r="475" spans="2:13">
      <c r="B475" s="10"/>
      <c r="C475" s="10"/>
      <c r="D475" s="10"/>
      <c r="E475" s="10"/>
      <c r="F475" s="10"/>
      <c r="G475" s="10"/>
      <c r="H475" s="10"/>
      <c r="I475" s="10"/>
      <c r="J475" s="10"/>
      <c r="K475" s="10"/>
      <c r="L475" s="10"/>
      <c r="M475" s="10"/>
    </row>
    <row r="476" spans="2:13">
      <c r="B476" s="10"/>
      <c r="C476" s="10"/>
      <c r="D476" s="10"/>
      <c r="E476" s="10"/>
      <c r="F476" s="10"/>
      <c r="G476" s="10"/>
      <c r="H476" s="10"/>
      <c r="I476" s="10"/>
      <c r="J476" s="10"/>
      <c r="K476" s="10"/>
      <c r="L476" s="10"/>
      <c r="M476" s="10"/>
    </row>
    <row r="477" spans="2:13">
      <c r="B477" s="10"/>
      <c r="C477" s="10"/>
      <c r="D477" s="10"/>
      <c r="E477" s="10"/>
      <c r="F477" s="10"/>
      <c r="G477" s="10"/>
      <c r="H477" s="10"/>
      <c r="I477" s="10"/>
      <c r="J477" s="10"/>
      <c r="K477" s="10"/>
      <c r="L477" s="10"/>
      <c r="M477" s="10"/>
    </row>
    <row r="478" spans="2:13">
      <c r="B478" s="10"/>
      <c r="C478" s="10"/>
      <c r="D478" s="10"/>
      <c r="E478" s="10"/>
      <c r="F478" s="10"/>
      <c r="G478" s="10"/>
      <c r="H478" s="10"/>
      <c r="I478" s="10"/>
      <c r="J478" s="10"/>
      <c r="K478" s="10"/>
      <c r="L478" s="10"/>
      <c r="M478" s="10"/>
    </row>
    <row r="479" spans="2:13">
      <c r="B479" s="10"/>
      <c r="C479" s="10"/>
      <c r="D479" s="10"/>
      <c r="E479" s="10"/>
      <c r="F479" s="10"/>
      <c r="G479" s="10"/>
      <c r="H479" s="10"/>
      <c r="I479" s="10"/>
      <c r="J479" s="10"/>
      <c r="K479" s="10"/>
      <c r="L479" s="10"/>
      <c r="M479" s="10"/>
    </row>
    <row r="480" spans="2:13">
      <c r="B480" s="10"/>
      <c r="C480" s="10"/>
      <c r="D480" s="10"/>
      <c r="E480" s="10"/>
      <c r="F480" s="10"/>
      <c r="G480" s="10"/>
      <c r="H480" s="10"/>
      <c r="I480" s="10"/>
      <c r="J480" s="10"/>
      <c r="K480" s="10"/>
      <c r="L480" s="10"/>
      <c r="M480" s="10"/>
    </row>
    <row r="481" spans="2:13">
      <c r="B481" s="10"/>
      <c r="C481" s="10"/>
      <c r="D481" s="10"/>
      <c r="E481" s="10"/>
      <c r="F481" s="10"/>
      <c r="G481" s="10"/>
      <c r="H481" s="10"/>
      <c r="I481" s="10"/>
      <c r="J481" s="10"/>
      <c r="K481" s="10"/>
      <c r="L481" s="10"/>
      <c r="M481" s="10"/>
    </row>
    <row r="482" spans="2:13">
      <c r="B482" s="10"/>
      <c r="C482" s="10"/>
      <c r="D482" s="10"/>
      <c r="E482" s="10"/>
      <c r="F482" s="10"/>
      <c r="G482" s="10"/>
      <c r="H482" s="10"/>
      <c r="I482" s="10"/>
      <c r="J482" s="10"/>
      <c r="K482" s="10"/>
      <c r="L482" s="10"/>
      <c r="M482" s="10"/>
    </row>
    <row r="483" spans="2:13">
      <c r="B483" s="10"/>
      <c r="C483" s="10"/>
      <c r="D483" s="10"/>
      <c r="E483" s="10"/>
      <c r="F483" s="10"/>
      <c r="G483" s="10"/>
      <c r="H483" s="10"/>
      <c r="I483" s="10"/>
      <c r="J483" s="10"/>
      <c r="K483" s="10"/>
      <c r="L483" s="10"/>
      <c r="M483" s="10"/>
    </row>
    <row r="484" spans="2:13">
      <c r="B484" s="10"/>
      <c r="C484" s="10"/>
      <c r="D484" s="10"/>
      <c r="E484" s="10"/>
      <c r="F484" s="10"/>
      <c r="G484" s="10"/>
      <c r="H484" s="10"/>
      <c r="I484" s="10"/>
      <c r="J484" s="10"/>
      <c r="K484" s="10"/>
      <c r="L484" s="10"/>
      <c r="M484" s="10"/>
    </row>
    <row r="485" spans="2:13">
      <c r="B485" s="10"/>
      <c r="C485" s="10"/>
      <c r="D485" s="10"/>
      <c r="E485" s="10"/>
      <c r="F485" s="10"/>
      <c r="G485" s="10"/>
      <c r="H485" s="10"/>
      <c r="I485" s="10"/>
      <c r="J485" s="10"/>
      <c r="K485" s="10"/>
      <c r="L485" s="10"/>
      <c r="M485" s="10"/>
    </row>
  </sheetData>
  <mergeCells count="435">
    <mergeCell ref="U17:AC18"/>
    <mergeCell ref="U14:AC15"/>
    <mergeCell ref="AD18:AK20"/>
    <mergeCell ref="H32:K32"/>
    <mergeCell ref="B33:D33"/>
    <mergeCell ref="F33:G33"/>
    <mergeCell ref="H33:K33"/>
    <mergeCell ref="C47:L51"/>
    <mergeCell ref="B52:M52"/>
    <mergeCell ref="B18:M18"/>
    <mergeCell ref="B19:F19"/>
    <mergeCell ref="G19:M19"/>
    <mergeCell ref="B20:F20"/>
    <mergeCell ref="H20:M22"/>
    <mergeCell ref="B21:F21"/>
    <mergeCell ref="H41:K41"/>
    <mergeCell ref="B38:D38"/>
    <mergeCell ref="C80:L83"/>
    <mergeCell ref="B2:G4"/>
    <mergeCell ref="J3:M7"/>
    <mergeCell ref="B5:G7"/>
    <mergeCell ref="B23:F23"/>
    <mergeCell ref="H23:M23"/>
    <mergeCell ref="B24:F24"/>
    <mergeCell ref="H24:M25"/>
    <mergeCell ref="B25:F25"/>
    <mergeCell ref="B28:F28"/>
    <mergeCell ref="B29:F31"/>
    <mergeCell ref="G29:M29"/>
    <mergeCell ref="G30:M30"/>
    <mergeCell ref="G31:M31"/>
    <mergeCell ref="F34:G34"/>
    <mergeCell ref="H34:K34"/>
    <mergeCell ref="B35:D35"/>
    <mergeCell ref="F35:G35"/>
    <mergeCell ref="H35:K35"/>
    <mergeCell ref="B32:D32"/>
    <mergeCell ref="F32:G32"/>
    <mergeCell ref="C53:G62"/>
    <mergeCell ref="H53:I53"/>
    <mergeCell ref="H39:K39"/>
    <mergeCell ref="C87:G87"/>
    <mergeCell ref="H87:J87"/>
    <mergeCell ref="K87:L87"/>
    <mergeCell ref="C88:G88"/>
    <mergeCell ref="H88:J88"/>
    <mergeCell ref="K88:L88"/>
    <mergeCell ref="B84:M84"/>
    <mergeCell ref="C85:G85"/>
    <mergeCell ref="H85:J85"/>
    <mergeCell ref="K85:L85"/>
    <mergeCell ref="C86:G86"/>
    <mergeCell ref="H86:J86"/>
    <mergeCell ref="K86:L86"/>
    <mergeCell ref="B102:M102"/>
    <mergeCell ref="B103:M103"/>
    <mergeCell ref="U103:AC104"/>
    <mergeCell ref="B104:G104"/>
    <mergeCell ref="B105:G105"/>
    <mergeCell ref="B106:G106"/>
    <mergeCell ref="O88:O99"/>
    <mergeCell ref="C89:G89"/>
    <mergeCell ref="H89:J89"/>
    <mergeCell ref="K89:L89"/>
    <mergeCell ref="C90:G90"/>
    <mergeCell ref="H90:J90"/>
    <mergeCell ref="K90:L90"/>
    <mergeCell ref="B91:M91"/>
    <mergeCell ref="C92:L99"/>
    <mergeCell ref="B121:M121"/>
    <mergeCell ref="B122:M126"/>
    <mergeCell ref="B127:M127"/>
    <mergeCell ref="B128:M132"/>
    <mergeCell ref="B133:M133"/>
    <mergeCell ref="B134:M138"/>
    <mergeCell ref="B107:G107"/>
    <mergeCell ref="B108:G108"/>
    <mergeCell ref="B109:M109"/>
    <mergeCell ref="B110:M114"/>
    <mergeCell ref="B115:M115"/>
    <mergeCell ref="B116:M120"/>
    <mergeCell ref="V178:AC178"/>
    <mergeCell ref="B157:M157"/>
    <mergeCell ref="B158:M162"/>
    <mergeCell ref="B167:M167"/>
    <mergeCell ref="B168:M168"/>
    <mergeCell ref="B169:G169"/>
    <mergeCell ref="B170:G170"/>
    <mergeCell ref="B139:M139"/>
    <mergeCell ref="B140:M144"/>
    <mergeCell ref="B145:M145"/>
    <mergeCell ref="B146:M150"/>
    <mergeCell ref="B151:M151"/>
    <mergeCell ref="B152:M156"/>
    <mergeCell ref="B181:M181"/>
    <mergeCell ref="E182:H182"/>
    <mergeCell ref="I182:L182"/>
    <mergeCell ref="M182:M183"/>
    <mergeCell ref="B200:M200"/>
    <mergeCell ref="B203:F203"/>
    <mergeCell ref="B171:G171"/>
    <mergeCell ref="B172:G172"/>
    <mergeCell ref="B173:G173"/>
    <mergeCell ref="B174:M174"/>
    <mergeCell ref="B175:M179"/>
    <mergeCell ref="B210:F210"/>
    <mergeCell ref="B211:F211"/>
    <mergeCell ref="B212:F212"/>
    <mergeCell ref="B213:F213"/>
    <mergeCell ref="B214:F214"/>
    <mergeCell ref="B215:F215"/>
    <mergeCell ref="B204:F204"/>
    <mergeCell ref="B205:F205"/>
    <mergeCell ref="B206:F206"/>
    <mergeCell ref="B207:F207"/>
    <mergeCell ref="B208:F208"/>
    <mergeCell ref="B209:F209"/>
    <mergeCell ref="B222:F222"/>
    <mergeCell ref="B223:F223"/>
    <mergeCell ref="B224:F224"/>
    <mergeCell ref="B225:F225"/>
    <mergeCell ref="B226:F226"/>
    <mergeCell ref="B227:F227"/>
    <mergeCell ref="B216:F216"/>
    <mergeCell ref="B217:F217"/>
    <mergeCell ref="B218:F218"/>
    <mergeCell ref="B219:F219"/>
    <mergeCell ref="B220:F220"/>
    <mergeCell ref="B221:F221"/>
    <mergeCell ref="B235:F235"/>
    <mergeCell ref="H235:I235"/>
    <mergeCell ref="K235:L235"/>
    <mergeCell ref="B236:F236"/>
    <mergeCell ref="H236:I236"/>
    <mergeCell ref="K236:L236"/>
    <mergeCell ref="B228:F228"/>
    <mergeCell ref="B229:F229"/>
    <mergeCell ref="B233:M233"/>
    <mergeCell ref="B234:G234"/>
    <mergeCell ref="H234:J234"/>
    <mergeCell ref="K234:M234"/>
    <mergeCell ref="B239:M239"/>
    <mergeCell ref="B240:H240"/>
    <mergeCell ref="B241:F241"/>
    <mergeCell ref="B242:F242"/>
    <mergeCell ref="B243:F243"/>
    <mergeCell ref="B244:F244"/>
    <mergeCell ref="B237:F237"/>
    <mergeCell ref="H237:I237"/>
    <mergeCell ref="K237:L237"/>
    <mergeCell ref="B238:F238"/>
    <mergeCell ref="H238:I238"/>
    <mergeCell ref="K238:M238"/>
    <mergeCell ref="B251:F251"/>
    <mergeCell ref="B252:F252"/>
    <mergeCell ref="B253:H253"/>
    <mergeCell ref="B255:F255"/>
    <mergeCell ref="B256:F256"/>
    <mergeCell ref="B257:F257"/>
    <mergeCell ref="B245:F245"/>
    <mergeCell ref="B246:F246"/>
    <mergeCell ref="B247:F247"/>
    <mergeCell ref="B248:F248"/>
    <mergeCell ref="B249:F249"/>
    <mergeCell ref="B250:F250"/>
    <mergeCell ref="B264:F264"/>
    <mergeCell ref="B265:F265"/>
    <mergeCell ref="B266:F266"/>
    <mergeCell ref="B267:F267"/>
    <mergeCell ref="B268:F268"/>
    <mergeCell ref="B269:M269"/>
    <mergeCell ref="B258:F258"/>
    <mergeCell ref="B259:M259"/>
    <mergeCell ref="B260:F260"/>
    <mergeCell ref="B261:F261"/>
    <mergeCell ref="B262:F262"/>
    <mergeCell ref="B263:F263"/>
    <mergeCell ref="B276:F276"/>
    <mergeCell ref="B277:F277"/>
    <mergeCell ref="B278:H278"/>
    <mergeCell ref="B279:F279"/>
    <mergeCell ref="B280:F280"/>
    <mergeCell ref="B281:F281"/>
    <mergeCell ref="B270:H270"/>
    <mergeCell ref="B271:F271"/>
    <mergeCell ref="B272:F272"/>
    <mergeCell ref="B273:F273"/>
    <mergeCell ref="B274:F274"/>
    <mergeCell ref="B275:F275"/>
    <mergeCell ref="B288:M288"/>
    <mergeCell ref="B289:C289"/>
    <mergeCell ref="D289:F289"/>
    <mergeCell ref="K289:M289"/>
    <mergeCell ref="K290:L290"/>
    <mergeCell ref="K291:L291"/>
    <mergeCell ref="B282:H282"/>
    <mergeCell ref="B283:F283"/>
    <mergeCell ref="B284:F284"/>
    <mergeCell ref="B285:F285"/>
    <mergeCell ref="B286:F286"/>
    <mergeCell ref="B287:F287"/>
    <mergeCell ref="B299:I299"/>
    <mergeCell ref="K299:M299"/>
    <mergeCell ref="B300:C300"/>
    <mergeCell ref="D300:E300"/>
    <mergeCell ref="F300:G300"/>
    <mergeCell ref="H300:I300"/>
    <mergeCell ref="K300:L300"/>
    <mergeCell ref="K292:L292"/>
    <mergeCell ref="K293:M293"/>
    <mergeCell ref="G295:M295"/>
    <mergeCell ref="G296:H296"/>
    <mergeCell ref="G297:H297"/>
    <mergeCell ref="B298:M298"/>
    <mergeCell ref="K303:M303"/>
    <mergeCell ref="B304:I304"/>
    <mergeCell ref="B301:C301"/>
    <mergeCell ref="D301:E301"/>
    <mergeCell ref="F301:G301"/>
    <mergeCell ref="H301:I301"/>
    <mergeCell ref="K301:L301"/>
    <mergeCell ref="B302:C302"/>
    <mergeCell ref="D302:E302"/>
    <mergeCell ref="F302:G302"/>
    <mergeCell ref="H302:I302"/>
    <mergeCell ref="K302:L302"/>
    <mergeCell ref="B305:C305"/>
    <mergeCell ref="D305:E305"/>
    <mergeCell ref="F305:I305"/>
    <mergeCell ref="B306:C306"/>
    <mergeCell ref="H306:I306"/>
    <mergeCell ref="B307:C307"/>
    <mergeCell ref="D307:E307"/>
    <mergeCell ref="H307:I307"/>
    <mergeCell ref="B303:C303"/>
    <mergeCell ref="D303:E303"/>
    <mergeCell ref="F303:G303"/>
    <mergeCell ref="H303:I303"/>
    <mergeCell ref="B310:C310"/>
    <mergeCell ref="D310:E310"/>
    <mergeCell ref="H310:I310"/>
    <mergeCell ref="F311:G311"/>
    <mergeCell ref="H311:I311"/>
    <mergeCell ref="B312:I312"/>
    <mergeCell ref="B308:C308"/>
    <mergeCell ref="D308:E308"/>
    <mergeCell ref="H308:I308"/>
    <mergeCell ref="B309:C309"/>
    <mergeCell ref="D309:E309"/>
    <mergeCell ref="H309:I309"/>
    <mergeCell ref="B316:C316"/>
    <mergeCell ref="D316:E316"/>
    <mergeCell ref="H316:I316"/>
    <mergeCell ref="B317:C317"/>
    <mergeCell ref="D317:E317"/>
    <mergeCell ref="H317:I317"/>
    <mergeCell ref="B313:C313"/>
    <mergeCell ref="D313:E313"/>
    <mergeCell ref="F313:I313"/>
    <mergeCell ref="B314:C314"/>
    <mergeCell ref="H314:I314"/>
    <mergeCell ref="B315:C315"/>
    <mergeCell ref="D315:E315"/>
    <mergeCell ref="H315:I315"/>
    <mergeCell ref="D321:E321"/>
    <mergeCell ref="F321:I321"/>
    <mergeCell ref="B322:C322"/>
    <mergeCell ref="H322:I322"/>
    <mergeCell ref="B323:C323"/>
    <mergeCell ref="D323:E323"/>
    <mergeCell ref="H323:I323"/>
    <mergeCell ref="B318:C318"/>
    <mergeCell ref="D318:E318"/>
    <mergeCell ref="H318:I318"/>
    <mergeCell ref="F319:G319"/>
    <mergeCell ref="H319:I319"/>
    <mergeCell ref="B320:I320"/>
    <mergeCell ref="B321:C321"/>
    <mergeCell ref="B340:F340"/>
    <mergeCell ref="B341:F341"/>
    <mergeCell ref="B342:F342"/>
    <mergeCell ref="B329:F329"/>
    <mergeCell ref="B330:F330"/>
    <mergeCell ref="B331:F331"/>
    <mergeCell ref="B332:F332"/>
    <mergeCell ref="B333:F333"/>
    <mergeCell ref="B334:F334"/>
    <mergeCell ref="B326:C326"/>
    <mergeCell ref="D326:E326"/>
    <mergeCell ref="H326:I326"/>
    <mergeCell ref="F327:G327"/>
    <mergeCell ref="H327:I327"/>
    <mergeCell ref="B328:M328"/>
    <mergeCell ref="B324:C324"/>
    <mergeCell ref="D324:E324"/>
    <mergeCell ref="H324:I324"/>
    <mergeCell ref="B325:C325"/>
    <mergeCell ref="D325:E325"/>
    <mergeCell ref="H325:I325"/>
    <mergeCell ref="B67:M67"/>
    <mergeCell ref="B22:F22"/>
    <mergeCell ref="B42:D42"/>
    <mergeCell ref="F42:G42"/>
    <mergeCell ref="H42:K42"/>
    <mergeCell ref="B43:M43"/>
    <mergeCell ref="C44:L45"/>
    <mergeCell ref="B46:M46"/>
    <mergeCell ref="B37:D37"/>
    <mergeCell ref="F37:G37"/>
    <mergeCell ref="H37:K37"/>
    <mergeCell ref="B40:D40"/>
    <mergeCell ref="F40:G40"/>
    <mergeCell ref="H40:K40"/>
    <mergeCell ref="B34:D34"/>
    <mergeCell ref="B36:D36"/>
    <mergeCell ref="F36:G36"/>
    <mergeCell ref="H36:K36"/>
    <mergeCell ref="B41:D41"/>
    <mergeCell ref="F38:G38"/>
    <mergeCell ref="F39:G39"/>
    <mergeCell ref="F41:G41"/>
    <mergeCell ref="H38:K38"/>
    <mergeCell ref="C70:M70"/>
    <mergeCell ref="C68:M68"/>
    <mergeCell ref="C69:M69"/>
    <mergeCell ref="D74:M74"/>
    <mergeCell ref="D75:M75"/>
    <mergeCell ref="D76:M76"/>
    <mergeCell ref="D77:M77"/>
    <mergeCell ref="D78:M78"/>
    <mergeCell ref="C71:M71"/>
    <mergeCell ref="C72:M72"/>
    <mergeCell ref="C73:M73"/>
    <mergeCell ref="B357:D357"/>
    <mergeCell ref="B358:D358"/>
    <mergeCell ref="B359:D359"/>
    <mergeCell ref="B360:D360"/>
    <mergeCell ref="B361:D361"/>
    <mergeCell ref="B362:D362"/>
    <mergeCell ref="B363:D363"/>
    <mergeCell ref="B364:M364"/>
    <mergeCell ref="G365:M365"/>
    <mergeCell ref="B365:E365"/>
    <mergeCell ref="B366:D366"/>
    <mergeCell ref="B367:D367"/>
    <mergeCell ref="B368:D368"/>
    <mergeCell ref="B369:D369"/>
    <mergeCell ref="B371:D371"/>
    <mergeCell ref="B372:D372"/>
    <mergeCell ref="B373:D373"/>
    <mergeCell ref="B374:D374"/>
    <mergeCell ref="B389:M389"/>
    <mergeCell ref="B375:D375"/>
    <mergeCell ref="B376:D376"/>
    <mergeCell ref="B377:D377"/>
    <mergeCell ref="B378:D378"/>
    <mergeCell ref="B379:D379"/>
    <mergeCell ref="B380:D380"/>
    <mergeCell ref="B381:D381"/>
    <mergeCell ref="B382:D382"/>
    <mergeCell ref="B383:D383"/>
    <mergeCell ref="B384:D384"/>
    <mergeCell ref="B385:M385"/>
    <mergeCell ref="C386:L388"/>
    <mergeCell ref="I390:J390"/>
    <mergeCell ref="K390:M390"/>
    <mergeCell ref="B391:M391"/>
    <mergeCell ref="B392:G392"/>
    <mergeCell ref="I392:J392"/>
    <mergeCell ref="K392:M392"/>
    <mergeCell ref="B393:G393"/>
    <mergeCell ref="I393:J393"/>
    <mergeCell ref="K393:M393"/>
    <mergeCell ref="B394:G394"/>
    <mergeCell ref="I394:J394"/>
    <mergeCell ref="K394:M394"/>
    <mergeCell ref="B395:G395"/>
    <mergeCell ref="I395:J395"/>
    <mergeCell ref="K395:M395"/>
    <mergeCell ref="B396:M396"/>
    <mergeCell ref="B397:G397"/>
    <mergeCell ref="I397:J397"/>
    <mergeCell ref="K397:M397"/>
    <mergeCell ref="B398:G398"/>
    <mergeCell ref="I398:J398"/>
    <mergeCell ref="K398:M398"/>
    <mergeCell ref="B399:G399"/>
    <mergeCell ref="I399:J399"/>
    <mergeCell ref="K399:M399"/>
    <mergeCell ref="B400:M400"/>
    <mergeCell ref="B401:G401"/>
    <mergeCell ref="I401:J401"/>
    <mergeCell ref="K401:M401"/>
    <mergeCell ref="B410:D410"/>
    <mergeCell ref="H410:M410"/>
    <mergeCell ref="B411:D411"/>
    <mergeCell ref="B412:D412"/>
    <mergeCell ref="B413:D413"/>
    <mergeCell ref="B414:D414"/>
    <mergeCell ref="B415:D415"/>
    <mergeCell ref="B416:D416"/>
    <mergeCell ref="B402:G402"/>
    <mergeCell ref="I402:J402"/>
    <mergeCell ref="K402:M402"/>
    <mergeCell ref="B403:G403"/>
    <mergeCell ref="I403:J403"/>
    <mergeCell ref="K403:M403"/>
    <mergeCell ref="B404:M404"/>
    <mergeCell ref="B405:G405"/>
    <mergeCell ref="I405:J405"/>
    <mergeCell ref="K405:M405"/>
    <mergeCell ref="B417:D417"/>
    <mergeCell ref="B418:D418"/>
    <mergeCell ref="B419:D419"/>
    <mergeCell ref="F419:M419"/>
    <mergeCell ref="B336:M336"/>
    <mergeCell ref="B337:M337"/>
    <mergeCell ref="B338:H338"/>
    <mergeCell ref="J338:M339"/>
    <mergeCell ref="B339:H339"/>
    <mergeCell ref="B343:M343"/>
    <mergeCell ref="B344:E344"/>
    <mergeCell ref="G344:M344"/>
    <mergeCell ref="B345:D345"/>
    <mergeCell ref="B346:D346"/>
    <mergeCell ref="B347:D347"/>
    <mergeCell ref="B348:D348"/>
    <mergeCell ref="B350:D350"/>
    <mergeCell ref="B351:D351"/>
    <mergeCell ref="B352:D352"/>
    <mergeCell ref="B353:D353"/>
    <mergeCell ref="B354:D354"/>
    <mergeCell ref="B355:D355"/>
    <mergeCell ref="B356:D356"/>
    <mergeCell ref="B409:M409"/>
  </mergeCells>
  <conditionalFormatting sqref="B69:B78">
    <cfRule type="containsText" dxfId="324" priority="128" operator="containsText" text="oui">
      <formula>NOT(ISERROR(SEARCH("oui",B69)))</formula>
    </cfRule>
  </conditionalFormatting>
  <conditionalFormatting sqref="B76">
    <cfRule type="expression" dxfId="323" priority="127">
      <formula>$D$76=""</formula>
    </cfRule>
  </conditionalFormatting>
  <conditionalFormatting sqref="B352:E352">
    <cfRule type="expression" dxfId="322" priority="36">
      <formula>$E$76="non"</formula>
    </cfRule>
  </conditionalFormatting>
  <conditionalFormatting sqref="E32">
    <cfRule type="expression" dxfId="321" priority="138">
      <formula>COUNTIF($E$40:$E$43,"oui")=0</formula>
    </cfRule>
    <cfRule type="expression" dxfId="320" priority="139">
      <formula>COUNTIF($E$40:$E$43,"oui")&lt;&gt;0</formula>
    </cfRule>
  </conditionalFormatting>
  <conditionalFormatting sqref="E33:E42">
    <cfRule type="containsText" dxfId="319" priority="135" operator="containsText" text="oui">
      <formula>NOT(ISERROR(SEARCH("oui",E33)))</formula>
    </cfRule>
  </conditionalFormatting>
  <conditionalFormatting sqref="F354:F359">
    <cfRule type="colorScale" priority="2">
      <colorScale>
        <cfvo type="min"/>
        <cfvo type="max"/>
        <color rgb="FFFCFCFF"/>
        <color rgb="FFFF5050"/>
      </colorScale>
    </cfRule>
  </conditionalFormatting>
  <conditionalFormatting sqref="F375:F380">
    <cfRule type="colorScale" priority="1">
      <colorScale>
        <cfvo type="min"/>
        <cfvo type="max"/>
        <color rgb="FFFCFCFF"/>
        <color rgb="FFFF5050"/>
      </colorScale>
    </cfRule>
  </conditionalFormatting>
  <conditionalFormatting sqref="F384">
    <cfRule type="expression" dxfId="318" priority="39">
      <formula>$F$108="E"</formula>
    </cfRule>
    <cfRule type="expression" dxfId="317" priority="40">
      <formula>$G$108="A"</formula>
    </cfRule>
    <cfRule type="expression" dxfId="316" priority="43">
      <formula>$F$108="A"</formula>
    </cfRule>
  </conditionalFormatting>
  <conditionalFormatting sqref="F411:F418">
    <cfRule type="colorScale" priority="125">
      <colorScale>
        <cfvo type="min"/>
        <cfvo type="max"/>
        <color theme="8" tint="0.79998168889431442"/>
        <color theme="8"/>
      </colorScale>
    </cfRule>
  </conditionalFormatting>
  <conditionalFormatting sqref="F372:H373 B373:E373">
    <cfRule type="expression" dxfId="315" priority="45" stopIfTrue="1">
      <formula>$E$96&lt;&gt;"oui"</formula>
    </cfRule>
  </conditionalFormatting>
  <conditionalFormatting sqref="F351:M352">
    <cfRule type="expression" dxfId="314" priority="19">
      <formula>$E$76="non"</formula>
    </cfRule>
  </conditionalFormatting>
  <conditionalFormatting sqref="G345:G363">
    <cfRule type="expression" dxfId="313" priority="28" stopIfTrue="1">
      <formula>$G$68="Neuf"</formula>
    </cfRule>
  </conditionalFormatting>
  <conditionalFormatting sqref="G366:G384">
    <cfRule type="expression" dxfId="312" priority="44" stopIfTrue="1">
      <formula>$G$68="Abandonné pour le projet"</formula>
    </cfRule>
  </conditionalFormatting>
  <conditionalFormatting sqref="G384">
    <cfRule type="expression" dxfId="311" priority="41">
      <formula>$G$108="E"</formula>
    </cfRule>
    <cfRule type="expression" dxfId="310" priority="42">
      <formula>$G$108="A"</formula>
    </cfRule>
  </conditionalFormatting>
  <conditionalFormatting sqref="H23">
    <cfRule type="expression" dxfId="309" priority="136">
      <formula>$H$24&lt;&gt;""</formula>
    </cfRule>
  </conditionalFormatting>
  <conditionalFormatting sqref="H345:H363 H366:H384">
    <cfRule type="expression" dxfId="308" priority="35">
      <formula>$H$68=""</formula>
    </cfRule>
  </conditionalFormatting>
  <conditionalFormatting sqref="H345:H363">
    <cfRule type="expression" dxfId="307" priority="38" stopIfTrue="1">
      <formula>$H$68="Neuf"</formula>
    </cfRule>
  </conditionalFormatting>
  <conditionalFormatting sqref="H366:H384">
    <cfRule type="expression" dxfId="306" priority="37" stopIfTrue="1">
      <formula>$H$68="Abandonné pour le projet"</formula>
    </cfRule>
  </conditionalFormatting>
  <conditionalFormatting sqref="H392:H393">
    <cfRule type="containsText" dxfId="305" priority="99" operator="containsText" text="oui">
      <formula>NOT(ISERROR(SEARCH("oui",H392)))</formula>
    </cfRule>
  </conditionalFormatting>
  <conditionalFormatting sqref="H399">
    <cfRule type="containsText" dxfId="304" priority="98" operator="containsText" text="oui">
      <formula>NOT(ISERROR(SEARCH("oui",H399)))</formula>
    </cfRule>
  </conditionalFormatting>
  <conditionalFormatting sqref="H401">
    <cfRule type="containsText" dxfId="303" priority="97" operator="containsText" text="oui">
      <formula>NOT(ISERROR(SEARCH("oui",H401)))</formula>
    </cfRule>
  </conditionalFormatting>
  <conditionalFormatting sqref="H405">
    <cfRule type="containsText" dxfId="302" priority="96" operator="containsText" text="oui">
      <formula>NOT(ISERROR(SEARCH("oui",H405)))</formula>
    </cfRule>
  </conditionalFormatting>
  <conditionalFormatting sqref="H28:M28">
    <cfRule type="expression" dxfId="301" priority="137">
      <formula>$G$29="oui"</formula>
    </cfRule>
  </conditionalFormatting>
  <conditionalFormatting sqref="I345:I363">
    <cfRule type="expression" dxfId="300" priority="32">
      <formula>$I$68=""</formula>
    </cfRule>
    <cfRule type="expression" dxfId="299" priority="34" stopIfTrue="1">
      <formula>$I$68="Neuf"</formula>
    </cfRule>
  </conditionalFormatting>
  <conditionalFormatting sqref="I366:I384">
    <cfRule type="expression" dxfId="298" priority="15">
      <formula>$I$68=""</formula>
    </cfRule>
    <cfRule type="expression" dxfId="297" priority="16" stopIfTrue="1">
      <formula>$I$68="Abandonné pour le projet"</formula>
    </cfRule>
  </conditionalFormatting>
  <conditionalFormatting sqref="I372:I373">
    <cfRule type="expression" dxfId="296" priority="17" stopIfTrue="1">
      <formula>$E$96&lt;&gt;"oui"</formula>
    </cfRule>
  </conditionalFormatting>
  <conditionalFormatting sqref="J345:J363">
    <cfRule type="expression" dxfId="295" priority="29">
      <formula>$J$68=""</formula>
    </cfRule>
    <cfRule type="expression" dxfId="294" priority="31" stopIfTrue="1">
      <formula>$J$68="Neuf"</formula>
    </cfRule>
  </conditionalFormatting>
  <conditionalFormatting sqref="J366:J384">
    <cfRule type="expression" dxfId="293" priority="12">
      <formula>$J$68=""</formula>
    </cfRule>
    <cfRule type="expression" dxfId="292" priority="13" stopIfTrue="1">
      <formula>$J$68="Abandonné pour le projet"</formula>
    </cfRule>
  </conditionalFormatting>
  <conditionalFormatting sqref="J372:J373">
    <cfRule type="expression" dxfId="291" priority="14" stopIfTrue="1">
      <formula>$E$96&lt;&gt;"oui"</formula>
    </cfRule>
  </conditionalFormatting>
  <conditionalFormatting sqref="K345:K363">
    <cfRule type="expression" dxfId="290" priority="24">
      <formula>$K$68=""</formula>
    </cfRule>
    <cfRule type="expression" dxfId="289" priority="26" stopIfTrue="1">
      <formula>$K$68="Neuf"</formula>
    </cfRule>
  </conditionalFormatting>
  <conditionalFormatting sqref="K366:K384">
    <cfRule type="expression" dxfId="288" priority="9">
      <formula>$K$68=""</formula>
    </cfRule>
    <cfRule type="expression" dxfId="287" priority="10" stopIfTrue="1">
      <formula>$K$68="Abandonné pour le projet"</formula>
    </cfRule>
  </conditionalFormatting>
  <conditionalFormatting sqref="K372:K373">
    <cfRule type="expression" dxfId="286" priority="11" stopIfTrue="1">
      <formula>$E$96&lt;&gt;"oui"</formula>
    </cfRule>
  </conditionalFormatting>
  <conditionalFormatting sqref="L345:L363">
    <cfRule type="expression" dxfId="285" priority="21">
      <formula>$L$68=""</formula>
    </cfRule>
    <cfRule type="expression" dxfId="284" priority="23" stopIfTrue="1">
      <formula>$L$68="Neuf"</formula>
    </cfRule>
  </conditionalFormatting>
  <conditionalFormatting sqref="L366:L384">
    <cfRule type="expression" dxfId="283" priority="6">
      <formula>$L$68=""</formula>
    </cfRule>
    <cfRule type="expression" dxfId="282" priority="7" stopIfTrue="1">
      <formula>$L$68="Abandonné pour le projet"</formula>
    </cfRule>
  </conditionalFormatting>
  <conditionalFormatting sqref="L372:L373">
    <cfRule type="expression" dxfId="281" priority="8" stopIfTrue="1">
      <formula>$E$96&lt;&gt;"oui"</formula>
    </cfRule>
  </conditionalFormatting>
  <conditionalFormatting sqref="M345:M363">
    <cfRule type="expression" dxfId="280" priority="18">
      <formula>$M$68=""</formula>
    </cfRule>
    <cfRule type="expression" dxfId="279" priority="20" stopIfTrue="1">
      <formula>$M$68="Neuf"</formula>
    </cfRule>
  </conditionalFormatting>
  <conditionalFormatting sqref="M366:M384">
    <cfRule type="expression" dxfId="278" priority="3">
      <formula>$M$68=""</formula>
    </cfRule>
    <cfRule type="expression" dxfId="277" priority="4" stopIfTrue="1">
      <formula>$M$68="Abandonné pour le projet"</formula>
    </cfRule>
  </conditionalFormatting>
  <conditionalFormatting sqref="M372:M373">
    <cfRule type="expression" dxfId="276" priority="5" stopIfTrue="1">
      <formula>$E$96&lt;&gt;"oui"</formula>
    </cfRule>
  </conditionalFormatting>
  <dataValidations count="7">
    <dataValidation type="list" allowBlank="1" showInputMessage="1" sqref="G24">
      <formula1>INDIRECT("B_ouinon[Oui/non]")</formula1>
    </dataValidation>
    <dataValidation type="list" allowBlank="1" showInputMessage="1" sqref="G28">
      <formula1>INDIRECT("G_type[Type]")</formula1>
    </dataValidation>
    <dataValidation type="list" allowBlank="1" showInputMessage="1" showErrorMessage="1" sqref="G27">
      <formula1>INDIRECT("G_usage[Usage]")</formula1>
    </dataValidation>
    <dataValidation type="list" allowBlank="1" showInputMessage="1" showErrorMessage="1" sqref="G26">
      <formula1>INDIRECT("G_travaux[Travaux]")</formula1>
    </dataValidation>
    <dataValidation type="list" allowBlank="1" showInputMessage="1" showErrorMessage="1" sqref="G411:G418">
      <formula1>INDIRECT("etapesdossier[Etapes_dossier]")</formula1>
    </dataValidation>
    <dataValidation type="list" allowBlank="1" showInputMessage="1" showErrorMessage="1" sqref="H395">
      <formula1>$B$42:$B$43</formula1>
    </dataValidation>
    <dataValidation type="list" allowBlank="1" showInputMessage="1" sqref="G342:M342">
      <formula1>INDIRECT("B_neufexistant[Neuf/Existant]")</formula1>
    </dataValidation>
  </dataValidations>
  <hyperlinks>
    <hyperlink ref="G9:H9" location="'Fiche projet biomasse'!B17" display="1 - Présentation du projet"/>
    <hyperlink ref="G12" location="'Fiche projet biomasse'!B113" display="3 - Caractéristiques techniques des installations aidées"/>
    <hyperlink ref="G13" location="'Fiche projet biomasse'!B175" display="4 - Plan d’approvisionnement en combustible(s) biomasse"/>
    <hyperlink ref="G14" location="'Fiche projet biomasse'!B175" display="5 - Récapitulatif des critères d’éligibilité"/>
    <hyperlink ref="G15" location="'Fiche projet biomasse'!B193" display="6 - Plan de financement"/>
    <hyperlink ref="B404:M404" r:id="rId1" display="Approvisionnement biomasse"/>
    <hyperlink ref="B402:G402" r:id="rId2" display="Emissions de poussières"/>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shapeId="32769" r:id="rId6">
          <objectPr defaultSize="0" r:id="rId7">
            <anchor moveWithCells="1">
              <from>
                <xdr:col>3</xdr:col>
                <xdr:colOff>388620</xdr:colOff>
                <xdr:row>109</xdr:row>
                <xdr:rowOff>60960</xdr:rowOff>
              </from>
              <to>
                <xdr:col>9</xdr:col>
                <xdr:colOff>297180</xdr:colOff>
                <xdr:row>110</xdr:row>
                <xdr:rowOff>152400</xdr:rowOff>
              </to>
            </anchor>
          </objectPr>
        </oleObject>
      </mc:Choice>
      <mc:Fallback>
        <oleObject progId="Word.Document.12" shapeId="32769" r:id="rId6"/>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26" id="{FDB5FDFD-D500-43C4-8BB4-1429B5A96F11}">
            <x14:iconSet custom="1">
              <x14:cfvo type="percent">
                <xm:f>0</xm:f>
              </x14:cfvo>
              <x14:cfvo type="num">
                <xm:f>0</xm:f>
              </x14:cfvo>
              <x14:cfvo type="num">
                <xm:f>0.85</xm:f>
              </x14:cfvo>
              <x14:cfIcon iconSet="3TrafficLights1" iconId="0"/>
              <x14:cfIcon iconSet="3TrafficLights1" iconId="0"/>
              <x14:cfIcon iconSet="3TrafficLights1" iconId="2"/>
            </x14:iconSet>
          </x14:cfRule>
          <xm:sqref>H397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[11]menus!#REF!</xm:f>
          </x14:formula1>
          <xm:sqref>D303:I303</xm:sqref>
        </x14:dataValidation>
        <x14:dataValidation type="list" allowBlank="1" showInputMessage="1" showErrorMessage="1">
          <x14:formula1>
            <xm:f>[11]menus!#REF!</xm:f>
          </x14:formula1>
          <xm:sqref>H331:M331 M300:M302 J235:J238 M235:M237 G235:G238 H250 I270 I278 H290:H293 M290:M292 C290:C293 E290:E294 I296:I297 H172:M172 H107:M107 F232:M232 M184:N184 N185:N208 L209:M209 N210:N219 N221:N231 G220:M220</xm:sqref>
        </x14:dataValidation>
        <x14:dataValidation type="list" allowBlank="1" showInputMessage="1">
          <x14:formula1>
            <xm:f>'menus geothermie'!$C$7:$C$9</xm:f>
          </x14:formula1>
          <xm:sqref>E33:E42 B69:B78</xm:sqref>
        </x14:dataValidation>
        <x14:dataValidation type="list" allowBlank="1" showInputMessage="1" showErrorMessage="1">
          <x14:formula1>
            <xm:f>'menus geothermie'!$V$6:$V$11</xm:f>
          </x14:formula1>
          <xm:sqref>G25</xm:sqref>
        </x14:dataValidation>
        <x14:dataValidation type="list" allowBlank="1" showInputMessage="1" showErrorMessage="1">
          <x14:formula1>
            <xm:f>'[12]menus biomasse'!#REF!</xm:f>
          </x14:formula1>
          <xm:sqref>H394</xm:sqref>
        </x14:dataValidation>
        <x14:dataValidation type="list" allowBlank="1" showInputMessage="1">
          <x14:formula1>
            <xm:f>'[12]menus biomasse'!#REF!</xm:f>
          </x14:formula1>
          <xm:sqref>H392:H393 H399 H401 H405 E351 E372 G341:M341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AS375"/>
  <sheetViews>
    <sheetView zoomScale="70" zoomScaleNormal="70" workbookViewId="0">
      <selection activeCell="N81" sqref="N81"/>
    </sheetView>
  </sheetViews>
  <sheetFormatPr defaultColWidth="11.44140625" defaultRowHeight="14.4"/>
  <cols>
    <col min="1" max="1" width="19" style="1" customWidth="1"/>
    <col min="2" max="2" width="17" customWidth="1"/>
    <col min="3" max="3" width="12" customWidth="1"/>
    <col min="4" max="4" width="17.109375" customWidth="1"/>
    <col min="5" max="5" width="19.33203125" customWidth="1"/>
    <col min="6" max="6" width="15.6640625" customWidth="1"/>
    <col min="7" max="7" width="35.33203125" customWidth="1"/>
    <col min="8" max="8" width="17.88671875" customWidth="1"/>
    <col min="9" max="9" width="18.88671875" customWidth="1"/>
    <col min="11" max="11" width="12.44140625" customWidth="1"/>
    <col min="12" max="12" width="14" customWidth="1"/>
    <col min="13" max="13" width="13.33203125" customWidth="1"/>
    <col min="14" max="14" width="21.88671875" style="10" customWidth="1"/>
    <col min="15" max="15" width="15.44140625" style="10" customWidth="1"/>
    <col min="16" max="18" width="11.44140625" style="10" customWidth="1"/>
    <col min="19" max="19" width="11.44140625" style="1" customWidth="1"/>
    <col min="20" max="20" width="29.44140625" style="1" customWidth="1"/>
    <col min="21" max="21" width="11.44140625" style="216"/>
  </cols>
  <sheetData>
    <row r="1" spans="2:37" ht="22.2" thickBot="1">
      <c r="B1" s="1028" t="s">
        <v>181</v>
      </c>
      <c r="C1" s="1029"/>
      <c r="D1" s="1030" t="s">
        <v>367</v>
      </c>
      <c r="E1" s="1029"/>
      <c r="F1" s="1031"/>
      <c r="G1" s="1031"/>
      <c r="H1" s="1032"/>
      <c r="I1" s="1032"/>
      <c r="J1" s="1032"/>
      <c r="K1" s="1032"/>
      <c r="L1" s="1033"/>
      <c r="M1" s="1034"/>
      <c r="U1" s="2117" t="s">
        <v>368</v>
      </c>
      <c r="V1" s="2118"/>
      <c r="W1" s="2118"/>
      <c r="X1" s="2118"/>
      <c r="Y1" s="2118"/>
      <c r="Z1" s="2118"/>
      <c r="AA1" s="2118"/>
      <c r="AB1" s="2118"/>
      <c r="AC1" s="2118"/>
    </row>
    <row r="2" spans="2:37" ht="16.2">
      <c r="B2" s="2074">
        <f>nom_prj</f>
        <v>0</v>
      </c>
      <c r="C2" s="2075"/>
      <c r="D2" s="2075"/>
      <c r="E2" s="2075"/>
      <c r="F2" s="2075"/>
      <c r="G2" s="2075"/>
      <c r="H2" s="1035"/>
      <c r="I2" s="1036"/>
      <c r="J2" s="1036"/>
      <c r="K2" s="1036"/>
      <c r="L2" s="1037"/>
      <c r="M2" s="1038"/>
      <c r="U2" s="2117"/>
      <c r="V2" s="2118"/>
      <c r="W2" s="2118"/>
      <c r="X2" s="2118"/>
      <c r="Y2" s="2118"/>
      <c r="Z2" s="2118"/>
      <c r="AA2" s="2118"/>
      <c r="AB2" s="2118"/>
      <c r="AC2" s="2118"/>
    </row>
    <row r="3" spans="2:37">
      <c r="B3" s="2076"/>
      <c r="C3" s="2077"/>
      <c r="D3" s="2077"/>
      <c r="E3" s="2077"/>
      <c r="F3" s="2077"/>
      <c r="G3" s="2077"/>
      <c r="H3" s="1039"/>
      <c r="I3" s="1040"/>
      <c r="J3" s="2080" t="s">
        <v>183</v>
      </c>
      <c r="K3" s="2081"/>
      <c r="L3" s="2081"/>
      <c r="M3" s="2082"/>
    </row>
    <row r="4" spans="2:37" ht="15" thickBot="1">
      <c r="B4" s="2078"/>
      <c r="C4" s="2079"/>
      <c r="D4" s="2079"/>
      <c r="E4" s="2079"/>
      <c r="F4" s="2079"/>
      <c r="G4" s="2079"/>
      <c r="H4" s="1039"/>
      <c r="I4" s="1040"/>
      <c r="J4" s="2080"/>
      <c r="K4" s="2081"/>
      <c r="L4" s="2081"/>
      <c r="M4" s="2082"/>
      <c r="O4" s="10" t="s">
        <v>416</v>
      </c>
      <c r="U4" s="2061" t="s">
        <v>369</v>
      </c>
      <c r="V4" s="2062"/>
      <c r="W4" s="2062"/>
      <c r="X4" s="2062"/>
      <c r="Y4" s="2062"/>
      <c r="Z4" s="2062"/>
      <c r="AA4" s="2062"/>
      <c r="AB4" s="2062"/>
      <c r="AC4" s="2062"/>
      <c r="AD4" s="221" t="s">
        <v>370</v>
      </c>
      <c r="AE4" s="222"/>
      <c r="AF4" s="222"/>
      <c r="AG4" s="222"/>
      <c r="AH4" s="222"/>
      <c r="AI4" s="222"/>
      <c r="AJ4" s="222"/>
      <c r="AK4" s="222"/>
    </row>
    <row r="5" spans="2:37">
      <c r="B5" s="2086">
        <f>nom_MO</f>
        <v>0</v>
      </c>
      <c r="C5" s="2087"/>
      <c r="D5" s="2087"/>
      <c r="E5" s="2087"/>
      <c r="F5" s="2087"/>
      <c r="G5" s="2087"/>
      <c r="H5" s="1039"/>
      <c r="I5" s="1040"/>
      <c r="J5" s="2080"/>
      <c r="K5" s="2081"/>
      <c r="L5" s="2081"/>
      <c r="M5" s="2082"/>
      <c r="U5" s="2061"/>
      <c r="V5" s="2062"/>
      <c r="W5" s="2062"/>
      <c r="X5" s="2062"/>
      <c r="Y5" s="2062"/>
      <c r="Z5" s="2062"/>
      <c r="AA5" s="2062"/>
      <c r="AB5" s="2062"/>
      <c r="AC5" s="2062"/>
      <c r="AD5" s="2119" t="s">
        <v>904</v>
      </c>
      <c r="AE5" s="2119"/>
      <c r="AF5" s="2119"/>
      <c r="AG5" s="2119"/>
      <c r="AH5" s="2119"/>
      <c r="AI5" s="2119"/>
      <c r="AJ5" s="2119"/>
      <c r="AK5" s="2119"/>
    </row>
    <row r="6" spans="2:37">
      <c r="B6" s="2088"/>
      <c r="C6" s="2089"/>
      <c r="D6" s="2089"/>
      <c r="E6" s="2089"/>
      <c r="F6" s="2089"/>
      <c r="G6" s="2089"/>
      <c r="H6" s="1039"/>
      <c r="I6" s="1040"/>
      <c r="J6" s="2080"/>
      <c r="K6" s="2081"/>
      <c r="L6" s="2081"/>
      <c r="M6" s="2082"/>
      <c r="U6" s="223"/>
      <c r="V6" s="222"/>
      <c r="W6" s="222"/>
      <c r="X6" s="222"/>
      <c r="Y6" s="222"/>
      <c r="Z6" s="222"/>
      <c r="AA6" s="222"/>
      <c r="AB6" s="222"/>
      <c r="AC6" s="222"/>
      <c r="AD6" s="2119"/>
      <c r="AE6" s="2119"/>
      <c r="AF6" s="2119"/>
      <c r="AG6" s="2119"/>
      <c r="AH6" s="2119"/>
      <c r="AI6" s="2119"/>
      <c r="AJ6" s="2119"/>
      <c r="AK6" s="2119"/>
    </row>
    <row r="7" spans="2:37" ht="15" thickBot="1">
      <c r="B7" s="2090"/>
      <c r="C7" s="2091"/>
      <c r="D7" s="2091"/>
      <c r="E7" s="2091" t="b">
        <v>0</v>
      </c>
      <c r="F7" s="2091" t="b">
        <v>1</v>
      </c>
      <c r="G7" s="2091" t="b">
        <v>0</v>
      </c>
      <c r="H7" s="1041"/>
      <c r="I7" s="1042"/>
      <c r="J7" s="2083"/>
      <c r="K7" s="2084"/>
      <c r="L7" s="2084"/>
      <c r="M7" s="2085"/>
      <c r="U7" s="223"/>
      <c r="V7" s="222"/>
      <c r="W7" s="222"/>
      <c r="X7" s="222"/>
      <c r="Y7" s="222"/>
      <c r="Z7" s="222"/>
      <c r="AA7" s="222"/>
      <c r="AB7" s="222"/>
      <c r="AC7" s="222"/>
      <c r="AD7" s="2119"/>
      <c r="AE7" s="2119"/>
      <c r="AF7" s="2119"/>
      <c r="AG7" s="2119"/>
      <c r="AH7" s="2119"/>
      <c r="AI7" s="2119"/>
      <c r="AJ7" s="2119"/>
      <c r="AK7" s="2119"/>
    </row>
    <row r="8" spans="2:37" ht="19.2" thickBot="1">
      <c r="B8" s="206"/>
      <c r="C8" s="207"/>
      <c r="D8" s="207"/>
      <c r="E8" s="207"/>
      <c r="F8" s="207"/>
      <c r="G8" s="207" t="s">
        <v>365</v>
      </c>
      <c r="H8" s="1043"/>
      <c r="I8" s="1043"/>
      <c r="J8" s="214"/>
      <c r="K8" s="214"/>
      <c r="L8" s="214"/>
      <c r="M8" s="215"/>
      <c r="U8" s="223"/>
      <c r="V8" s="222"/>
      <c r="W8" s="222"/>
      <c r="X8" s="222"/>
      <c r="Y8" s="222"/>
      <c r="Z8" s="222"/>
      <c r="AA8" s="222"/>
      <c r="AB8" s="222"/>
      <c r="AC8" s="222"/>
      <c r="AD8" s="221" t="s">
        <v>372</v>
      </c>
      <c r="AE8" s="222"/>
      <c r="AF8" s="222"/>
      <c r="AG8" s="222"/>
      <c r="AH8" s="222"/>
      <c r="AI8" s="222"/>
      <c r="AJ8" s="222"/>
      <c r="AK8" s="222"/>
    </row>
    <row r="9" spans="2:37" ht="18.600000000000001" thickBot="1">
      <c r="B9" s="2173" t="s">
        <v>8</v>
      </c>
      <c r="C9" s="2174"/>
      <c r="D9" s="2174"/>
      <c r="E9" s="2174"/>
      <c r="F9" s="2174"/>
      <c r="G9" s="2174"/>
      <c r="H9" s="2174"/>
      <c r="I9" s="2174"/>
      <c r="J9" s="2174"/>
      <c r="K9" s="2174"/>
      <c r="L9" s="2174"/>
      <c r="M9" s="2175"/>
      <c r="N9" s="1083"/>
      <c r="O9" s="1083"/>
      <c r="P9" s="1083"/>
      <c r="Q9" s="1083"/>
      <c r="R9" s="1083"/>
      <c r="S9" s="1083"/>
      <c r="U9" s="223"/>
      <c r="V9" s="222"/>
      <c r="W9" s="222"/>
      <c r="X9" s="222"/>
      <c r="Y9" s="222"/>
      <c r="Z9" s="222"/>
      <c r="AA9" s="222"/>
      <c r="AB9" s="222"/>
      <c r="AC9" s="222"/>
      <c r="AD9" s="224" t="s">
        <v>373</v>
      </c>
      <c r="AE9" s="222"/>
      <c r="AF9" s="222"/>
      <c r="AG9" s="222"/>
      <c r="AH9" s="222"/>
      <c r="AI9" s="222"/>
      <c r="AJ9" s="222"/>
      <c r="AK9" s="222"/>
    </row>
    <row r="10" spans="2:37" ht="18.600000000000001" thickBot="1">
      <c r="B10" s="1111"/>
      <c r="C10" s="210"/>
      <c r="D10" s="210"/>
      <c r="E10" s="210"/>
      <c r="F10" s="209"/>
      <c r="G10" s="209" t="s">
        <v>628</v>
      </c>
      <c r="H10" s="209"/>
      <c r="I10" s="210"/>
      <c r="J10" s="210"/>
      <c r="K10" s="210"/>
      <c r="L10" s="210"/>
      <c r="M10" s="1110"/>
      <c r="U10" s="223"/>
      <c r="V10" s="222"/>
      <c r="W10" s="222"/>
      <c r="X10" s="222"/>
      <c r="Y10" s="222"/>
      <c r="Z10" s="222"/>
      <c r="AA10" s="222"/>
      <c r="AB10" s="222"/>
      <c r="AC10" s="222"/>
      <c r="AD10" s="224"/>
      <c r="AE10" s="222"/>
      <c r="AF10" s="222"/>
      <c r="AG10" s="222"/>
      <c r="AH10" s="222"/>
      <c r="AI10" s="222"/>
      <c r="AJ10" s="222"/>
      <c r="AK10" s="222"/>
    </row>
    <row r="11" spans="2:37" ht="19.5" customHeight="1" thickBot="1">
      <c r="B11" s="2170" t="s">
        <v>909</v>
      </c>
      <c r="C11" s="2171"/>
      <c r="D11" s="2171"/>
      <c r="E11" s="2171"/>
      <c r="F11" s="2171"/>
      <c r="G11" s="2171"/>
      <c r="H11" s="2171"/>
      <c r="I11" s="2171"/>
      <c r="J11" s="2171"/>
      <c r="K11" s="2171"/>
      <c r="L11" s="2171"/>
      <c r="M11" s="2172"/>
      <c r="U11" s="223"/>
      <c r="V11" s="222"/>
      <c r="W11" s="222"/>
      <c r="X11" s="222"/>
      <c r="Y11" s="222"/>
      <c r="Z11" s="222"/>
      <c r="AA11" s="222"/>
      <c r="AB11" s="222"/>
      <c r="AC11" s="222"/>
      <c r="AD11" s="2169" t="s">
        <v>374</v>
      </c>
      <c r="AE11" s="2169"/>
      <c r="AF11" s="2169"/>
      <c r="AG11" s="2169"/>
      <c r="AH11" s="2169"/>
      <c r="AI11" s="2169"/>
      <c r="AJ11" s="2169"/>
      <c r="AK11" s="2169"/>
    </row>
    <row r="12" spans="2:37" ht="18.600000000000001" thickBot="1">
      <c r="B12" s="2173" t="s">
        <v>894</v>
      </c>
      <c r="C12" s="2174"/>
      <c r="D12" s="2174"/>
      <c r="E12" s="2174"/>
      <c r="F12" s="2174"/>
      <c r="G12" s="2174"/>
      <c r="H12" s="2174"/>
      <c r="I12" s="2174"/>
      <c r="J12" s="2174"/>
      <c r="K12" s="2174"/>
      <c r="L12" s="2174"/>
      <c r="M12" s="2175"/>
      <c r="U12" s="1089" t="s">
        <v>900</v>
      </c>
      <c r="V12" s="222"/>
      <c r="W12" s="222"/>
      <c r="X12" s="222"/>
      <c r="Y12" s="222"/>
      <c r="Z12" s="222"/>
      <c r="AA12" s="222"/>
      <c r="AB12" s="222"/>
      <c r="AC12" s="222"/>
      <c r="AD12" s="2169"/>
      <c r="AE12" s="2169"/>
      <c r="AF12" s="2169"/>
      <c r="AG12" s="2169"/>
      <c r="AH12" s="2169"/>
      <c r="AI12" s="2169"/>
      <c r="AJ12" s="2169"/>
      <c r="AK12" s="2169"/>
    </row>
    <row r="13" spans="2:37" ht="18.600000000000001" thickBot="1">
      <c r="B13" s="2173" t="s">
        <v>895</v>
      </c>
      <c r="C13" s="2174"/>
      <c r="D13" s="2174"/>
      <c r="E13" s="2174"/>
      <c r="F13" s="2174"/>
      <c r="G13" s="2174"/>
      <c r="H13" s="2174"/>
      <c r="I13" s="2174"/>
      <c r="J13" s="2174"/>
      <c r="K13" s="2174"/>
      <c r="L13" s="2174"/>
      <c r="M13" s="2175"/>
      <c r="U13" s="223"/>
      <c r="V13" s="222"/>
      <c r="W13" s="222"/>
      <c r="X13" s="222"/>
      <c r="Y13" s="222"/>
      <c r="Z13" s="222"/>
      <c r="AA13" s="222"/>
      <c r="AB13" s="222"/>
      <c r="AC13" s="222"/>
      <c r="AD13" s="221" t="s">
        <v>375</v>
      </c>
      <c r="AE13" s="222"/>
      <c r="AF13" s="222"/>
      <c r="AG13" s="222"/>
      <c r="AH13" s="222"/>
      <c r="AI13" s="222"/>
      <c r="AJ13" s="222"/>
      <c r="AK13" s="222"/>
    </row>
    <row r="14" spans="2:37" ht="18.600000000000001" thickBot="1">
      <c r="B14" s="2173" t="s">
        <v>896</v>
      </c>
      <c r="C14" s="2174"/>
      <c r="D14" s="2174"/>
      <c r="E14" s="2174"/>
      <c r="F14" s="2174"/>
      <c r="G14" s="2174"/>
      <c r="H14" s="2174"/>
      <c r="I14" s="2174"/>
      <c r="J14" s="2174"/>
      <c r="K14" s="2174"/>
      <c r="L14" s="2174"/>
      <c r="M14" s="2175"/>
      <c r="U14" s="1089"/>
      <c r="V14" s="222"/>
      <c r="W14" s="222"/>
      <c r="X14" s="222"/>
      <c r="Y14" s="222"/>
      <c r="Z14" s="222"/>
      <c r="AA14" s="222"/>
      <c r="AB14" s="222"/>
      <c r="AC14" s="222"/>
      <c r="AD14" s="224" t="s">
        <v>377</v>
      </c>
      <c r="AE14" s="222"/>
      <c r="AF14" s="222"/>
      <c r="AG14" s="222"/>
      <c r="AH14" s="222"/>
      <c r="AI14" s="222"/>
      <c r="AJ14" s="222"/>
      <c r="AK14" s="222"/>
    </row>
    <row r="15" spans="2:37" ht="18.600000000000001" thickBot="1">
      <c r="B15" s="2173" t="s">
        <v>956</v>
      </c>
      <c r="C15" s="2174"/>
      <c r="D15" s="2174"/>
      <c r="E15" s="2174"/>
      <c r="F15" s="2174"/>
      <c r="G15" s="2174"/>
      <c r="H15" s="2174"/>
      <c r="I15" s="2174"/>
      <c r="J15" s="2174"/>
      <c r="K15" s="2174"/>
      <c r="L15" s="2174"/>
      <c r="M15" s="2175"/>
      <c r="U15" s="223"/>
      <c r="V15" s="222"/>
      <c r="W15" s="222"/>
      <c r="X15" s="222"/>
      <c r="Y15" s="222"/>
      <c r="Z15" s="222"/>
      <c r="AA15" s="222"/>
      <c r="AB15" s="222"/>
      <c r="AC15" s="222"/>
      <c r="AD15" s="222"/>
      <c r="AE15" s="222"/>
      <c r="AF15" s="222"/>
      <c r="AG15" s="222"/>
      <c r="AH15" s="222"/>
      <c r="AI15" s="222"/>
      <c r="AJ15" s="222"/>
      <c r="AK15" s="222"/>
    </row>
    <row r="16" spans="2:37" ht="18.600000000000001" thickBot="1">
      <c r="B16" s="2173" t="s">
        <v>955</v>
      </c>
      <c r="C16" s="2174"/>
      <c r="D16" s="2174"/>
      <c r="E16" s="2174"/>
      <c r="F16" s="2174"/>
      <c r="G16" s="2174"/>
      <c r="H16" s="2174"/>
      <c r="I16" s="2174"/>
      <c r="J16" s="2174"/>
      <c r="K16" s="2174"/>
      <c r="L16" s="2174"/>
      <c r="M16" s="2175"/>
      <c r="U16" s="1091" t="s">
        <v>901</v>
      </c>
      <c r="V16" s="222"/>
      <c r="W16" s="222"/>
      <c r="X16" s="222"/>
      <c r="Y16" s="222"/>
      <c r="Z16" s="1090" t="s">
        <v>902</v>
      </c>
      <c r="AA16" s="222"/>
      <c r="AB16" s="222"/>
      <c r="AC16" s="222"/>
      <c r="AD16" s="221" t="s">
        <v>379</v>
      </c>
      <c r="AE16" s="222"/>
      <c r="AF16" s="222"/>
      <c r="AG16" s="222"/>
      <c r="AH16" s="222"/>
      <c r="AI16" s="222"/>
      <c r="AJ16" s="222"/>
      <c r="AK16" s="222"/>
    </row>
    <row r="17" spans="2:37" ht="18.600000000000001" thickBot="1">
      <c r="B17" s="2173" t="s">
        <v>957</v>
      </c>
      <c r="C17" s="2174"/>
      <c r="D17" s="2174"/>
      <c r="E17" s="2174"/>
      <c r="F17" s="2174"/>
      <c r="G17" s="2174"/>
      <c r="H17" s="2174"/>
      <c r="I17" s="2174"/>
      <c r="J17" s="2174"/>
      <c r="K17" s="2174"/>
      <c r="L17" s="2174"/>
      <c r="M17" s="2175"/>
      <c r="U17" s="223"/>
      <c r="V17" s="222"/>
      <c r="W17" s="222"/>
      <c r="X17" s="222"/>
      <c r="Y17" s="222"/>
      <c r="Z17" s="222"/>
      <c r="AA17" s="222"/>
      <c r="AB17" s="222"/>
      <c r="AC17" s="222"/>
      <c r="AD17" s="224" t="s">
        <v>381</v>
      </c>
      <c r="AE17" s="222"/>
      <c r="AF17" s="222"/>
      <c r="AG17" s="222"/>
      <c r="AH17" s="222"/>
      <c r="AI17" s="222"/>
      <c r="AJ17" s="222"/>
      <c r="AK17" s="222"/>
    </row>
    <row r="18" spans="2:37" ht="18.600000000000001">
      <c r="B18" s="520"/>
      <c r="C18" s="521"/>
      <c r="D18" s="521"/>
      <c r="E18" s="521"/>
      <c r="F18" s="522"/>
      <c r="G18" s="523"/>
      <c r="H18" s="522"/>
      <c r="I18" s="1044"/>
      <c r="J18" s="213"/>
      <c r="K18" s="213"/>
      <c r="L18" s="213"/>
      <c r="M18" s="213"/>
      <c r="U18" s="223"/>
      <c r="V18" s="222"/>
      <c r="W18" s="222"/>
      <c r="X18" s="222"/>
      <c r="Y18" s="222"/>
      <c r="Z18" s="222"/>
      <c r="AA18" s="222"/>
      <c r="AB18" s="222"/>
      <c r="AC18" s="222"/>
      <c r="AD18" s="222"/>
      <c r="AE18" s="222"/>
      <c r="AF18" s="222"/>
      <c r="AG18" s="222"/>
      <c r="AH18" s="222"/>
      <c r="AI18" s="222"/>
      <c r="AJ18" s="222"/>
      <c r="AK18" s="222"/>
    </row>
    <row r="19" spans="2:37" ht="18.600000000000001">
      <c r="B19" s="1129" t="s">
        <v>971</v>
      </c>
      <c r="C19" s="521"/>
      <c r="D19" s="521"/>
      <c r="E19" s="521"/>
      <c r="F19" s="522"/>
      <c r="G19" s="523"/>
      <c r="H19" s="522"/>
      <c r="I19" s="1044"/>
      <c r="J19" s="213"/>
      <c r="K19" s="213"/>
      <c r="L19" s="213"/>
      <c r="M19" s="213"/>
      <c r="U19" s="223"/>
      <c r="V19" s="222"/>
      <c r="W19" s="222"/>
      <c r="X19" s="222"/>
      <c r="Y19" s="222"/>
      <c r="Z19" s="222"/>
      <c r="AA19" s="222"/>
      <c r="AB19" s="222"/>
      <c r="AC19" s="222"/>
      <c r="AD19" s="221" t="s">
        <v>382</v>
      </c>
      <c r="AE19" s="222"/>
      <c r="AF19" s="222"/>
      <c r="AG19" s="222"/>
      <c r="AH19" s="222"/>
      <c r="AI19" s="222"/>
      <c r="AJ19" s="222"/>
      <c r="AK19" s="222"/>
    </row>
    <row r="20" spans="2:37" ht="19.2" thickBot="1">
      <c r="B20" s="520"/>
      <c r="C20" s="521"/>
      <c r="D20" s="521"/>
      <c r="E20" s="521"/>
      <c r="F20" s="522"/>
      <c r="G20" s="523"/>
      <c r="H20" s="522"/>
      <c r="I20" s="1044"/>
      <c r="J20" s="213"/>
      <c r="K20" s="213"/>
      <c r="L20" s="213"/>
      <c r="M20" s="213"/>
      <c r="U20" s="223"/>
      <c r="V20" s="222"/>
      <c r="W20" s="222"/>
      <c r="X20" s="222"/>
      <c r="Y20" s="222"/>
      <c r="Z20" s="222"/>
      <c r="AA20" s="222"/>
      <c r="AB20" s="222"/>
      <c r="AC20" s="222"/>
      <c r="AD20" s="224" t="s">
        <v>383</v>
      </c>
      <c r="AE20" s="222"/>
      <c r="AF20" s="222"/>
      <c r="AG20" s="222"/>
      <c r="AH20" s="222"/>
      <c r="AI20" s="222"/>
      <c r="AJ20" s="222"/>
      <c r="AK20" s="222"/>
    </row>
    <row r="21" spans="2:37" ht="18.600000000000001" thickBot="1">
      <c r="B21" s="2166" t="s">
        <v>8</v>
      </c>
      <c r="C21" s="2167"/>
      <c r="D21" s="2167"/>
      <c r="E21" s="2167"/>
      <c r="F21" s="2167"/>
      <c r="G21" s="2167"/>
      <c r="H21" s="2167"/>
      <c r="I21" s="2167"/>
      <c r="J21" s="2167"/>
      <c r="K21" s="2167"/>
      <c r="L21" s="2167"/>
      <c r="M21" s="2168"/>
      <c r="U21" s="223"/>
      <c r="V21" s="222"/>
      <c r="W21" s="222"/>
      <c r="X21" s="222"/>
      <c r="Y21" s="222"/>
      <c r="Z21" s="222"/>
      <c r="AA21" s="222"/>
      <c r="AB21" s="222"/>
      <c r="AC21" s="222"/>
      <c r="AD21" s="224" t="s">
        <v>384</v>
      </c>
      <c r="AE21" s="222"/>
      <c r="AF21" s="222"/>
      <c r="AG21" s="222"/>
      <c r="AH21" s="222"/>
      <c r="AI21" s="222"/>
      <c r="AJ21" s="222"/>
      <c r="AK21" s="222"/>
    </row>
    <row r="22" spans="2:37" ht="18">
      <c r="B22" s="2149" t="s">
        <v>1</v>
      </c>
      <c r="C22" s="2150"/>
      <c r="D22" s="2150"/>
      <c r="E22" s="2150"/>
      <c r="F22" s="2150"/>
      <c r="G22" s="2151"/>
      <c r="H22" s="2151"/>
      <c r="I22" s="2151"/>
      <c r="J22" s="2151"/>
      <c r="K22" s="2151"/>
      <c r="L22" s="2151"/>
      <c r="M22" s="2152"/>
      <c r="U22" s="223"/>
      <c r="V22" s="222"/>
      <c r="W22" s="222"/>
      <c r="X22" s="1092" t="s">
        <v>903</v>
      </c>
      <c r="Y22" s="222"/>
      <c r="Z22" s="222"/>
      <c r="AA22" s="222"/>
      <c r="AB22" s="222"/>
      <c r="AC22" s="222"/>
      <c r="AD22" s="222"/>
      <c r="AE22" s="222"/>
      <c r="AF22" s="222"/>
      <c r="AG22" s="222"/>
      <c r="AH22" s="222"/>
      <c r="AI22" s="222"/>
      <c r="AJ22" s="222"/>
      <c r="AK22" s="222"/>
    </row>
    <row r="23" spans="2:37" ht="18">
      <c r="B23" s="2153" t="s">
        <v>4</v>
      </c>
      <c r="C23" s="2154"/>
      <c r="D23" s="2154"/>
      <c r="E23" s="2154"/>
      <c r="F23" s="2154"/>
      <c r="G23" s="1045"/>
      <c r="H23" s="2345" t="s">
        <v>159</v>
      </c>
      <c r="I23" s="2345"/>
      <c r="J23" s="2345"/>
      <c r="K23" s="2345"/>
      <c r="L23" s="2345"/>
      <c r="M23" s="2346"/>
      <c r="U23" s="223"/>
      <c r="V23" s="221"/>
      <c r="W23" s="222"/>
      <c r="X23" s="222"/>
      <c r="Y23" s="222"/>
      <c r="Z23" s="222"/>
      <c r="AA23" s="222"/>
      <c r="AB23" s="222"/>
      <c r="AC23" s="222"/>
      <c r="AD23" s="221" t="s">
        <v>386</v>
      </c>
      <c r="AE23" s="222"/>
      <c r="AF23" s="222"/>
      <c r="AG23" s="222"/>
      <c r="AH23" s="222"/>
      <c r="AI23" s="222"/>
      <c r="AJ23" s="222"/>
      <c r="AK23" s="222"/>
    </row>
    <row r="24" spans="2:37" ht="18">
      <c r="B24" s="2153" t="s">
        <v>5</v>
      </c>
      <c r="C24" s="2154"/>
      <c r="D24" s="2154"/>
      <c r="E24" s="2154"/>
      <c r="F24" s="2154"/>
      <c r="G24" s="1046"/>
      <c r="H24" s="2345"/>
      <c r="I24" s="2345"/>
      <c r="J24" s="2345"/>
      <c r="K24" s="2345"/>
      <c r="L24" s="2345"/>
      <c r="M24" s="2346"/>
      <c r="U24" s="223"/>
      <c r="V24" s="221"/>
      <c r="W24" s="222"/>
      <c r="X24" s="222"/>
      <c r="Y24" s="222"/>
      <c r="Z24" s="222"/>
      <c r="AA24" s="222"/>
      <c r="AB24" s="222"/>
      <c r="AC24" s="222"/>
      <c r="AD24" s="224" t="s">
        <v>387</v>
      </c>
      <c r="AE24" s="222"/>
      <c r="AF24" s="222"/>
      <c r="AG24" s="222"/>
      <c r="AH24" s="222"/>
      <c r="AI24" s="222"/>
      <c r="AJ24" s="222"/>
      <c r="AK24" s="222"/>
    </row>
    <row r="25" spans="2:37" ht="18">
      <c r="B25" s="2153" t="s">
        <v>119</v>
      </c>
      <c r="C25" s="2154"/>
      <c r="D25" s="2154"/>
      <c r="E25" s="2154"/>
      <c r="F25" s="2154"/>
      <c r="G25" s="1045"/>
      <c r="H25" s="2345"/>
      <c r="I25" s="2345"/>
      <c r="J25" s="2345"/>
      <c r="K25" s="2345"/>
      <c r="L25" s="2345"/>
      <c r="M25" s="2346"/>
    </row>
    <row r="26" spans="2:37" ht="18">
      <c r="B26" s="2153" t="s">
        <v>120</v>
      </c>
      <c r="C26" s="2154"/>
      <c r="D26" s="2154"/>
      <c r="E26" s="2154"/>
      <c r="F26" s="2154"/>
      <c r="G26" s="1047"/>
      <c r="H26" s="2158" t="str">
        <f>IF(G26&lt;=G23,"","Les travaux ont commencés avant la date de dépôt du dossier: le projet n'est plus finançable")</f>
        <v/>
      </c>
      <c r="I26" s="2158"/>
      <c r="J26" s="2158"/>
      <c r="K26" s="2158"/>
      <c r="L26" s="2158"/>
      <c r="M26" s="2159"/>
    </row>
    <row r="27" spans="2:37" ht="18">
      <c r="B27" s="2153" t="s">
        <v>96</v>
      </c>
      <c r="C27" s="2154"/>
      <c r="D27" s="2154"/>
      <c r="E27" s="2154"/>
      <c r="F27" s="2154"/>
      <c r="G27" s="1170" t="s">
        <v>40</v>
      </c>
      <c r="H27" s="2345" t="s">
        <v>159</v>
      </c>
      <c r="I27" s="2345"/>
      <c r="J27" s="2345"/>
      <c r="K27" s="2345"/>
      <c r="L27" s="2345"/>
      <c r="M27" s="2346"/>
    </row>
    <row r="28" spans="2:37" ht="18.600000000000001" thickBot="1">
      <c r="B28" s="2160" t="s">
        <v>118</v>
      </c>
      <c r="C28" s="2161"/>
      <c r="D28" s="2161"/>
      <c r="E28" s="2161"/>
      <c r="F28" s="2161"/>
      <c r="G28" s="1171" t="s">
        <v>202</v>
      </c>
      <c r="H28" s="2353"/>
      <c r="I28" s="2354"/>
      <c r="J28" s="2354"/>
      <c r="K28" s="2354"/>
      <c r="L28" s="2354"/>
      <c r="M28" s="2355"/>
    </row>
    <row r="29" spans="2:37" ht="18">
      <c r="B29" s="2371" t="s">
        <v>587</v>
      </c>
      <c r="C29" s="2372"/>
      <c r="D29" s="2377" t="s">
        <v>596</v>
      </c>
      <c r="E29" s="2378"/>
      <c r="F29" s="2378"/>
      <c r="G29" s="2379"/>
      <c r="H29" s="1188" t="b">
        <v>0</v>
      </c>
      <c r="I29" s="2398"/>
      <c r="J29" s="2399"/>
      <c r="K29" s="2399"/>
      <c r="L29" s="2399"/>
      <c r="M29" s="2400"/>
      <c r="N29" s="2133" t="s">
        <v>983</v>
      </c>
    </row>
    <row r="30" spans="2:37" ht="18">
      <c r="B30" s="2373"/>
      <c r="C30" s="2374"/>
      <c r="D30" s="2380" t="s">
        <v>978</v>
      </c>
      <c r="E30" s="2381"/>
      <c r="F30" s="2381"/>
      <c r="G30" s="2382"/>
      <c r="H30" s="1189" t="b">
        <v>1</v>
      </c>
      <c r="I30" s="2356"/>
      <c r="J30" s="2357"/>
      <c r="K30" s="2357"/>
      <c r="L30" s="2357"/>
      <c r="M30" s="2358"/>
      <c r="N30" s="2133"/>
    </row>
    <row r="31" spans="2:37" ht="18">
      <c r="B31" s="2373"/>
      <c r="C31" s="2374"/>
      <c r="D31" s="2380" t="s">
        <v>589</v>
      </c>
      <c r="E31" s="2381"/>
      <c r="F31" s="2381"/>
      <c r="G31" s="2382"/>
      <c r="H31" s="1189" t="b">
        <v>1</v>
      </c>
      <c r="I31" s="2356"/>
      <c r="J31" s="2357"/>
      <c r="K31" s="2357"/>
      <c r="L31" s="2357"/>
      <c r="M31" s="2358"/>
    </row>
    <row r="32" spans="2:37" ht="18.600000000000001" thickBot="1">
      <c r="B32" s="2375"/>
      <c r="C32" s="2376"/>
      <c r="D32" s="2383" t="s">
        <v>979</v>
      </c>
      <c r="E32" s="2384"/>
      <c r="F32" s="2384"/>
      <c r="G32" s="2385"/>
      <c r="H32" s="1190" t="b">
        <v>1</v>
      </c>
      <c r="I32" s="2359"/>
      <c r="J32" s="2360"/>
      <c r="K32" s="2360"/>
      <c r="L32" s="2360"/>
      <c r="M32" s="2361"/>
    </row>
    <row r="33" spans="1:19" ht="18">
      <c r="B33" s="2371" t="s">
        <v>590</v>
      </c>
      <c r="C33" s="2372"/>
      <c r="D33" s="2377" t="s">
        <v>442</v>
      </c>
      <c r="E33" s="2378"/>
      <c r="F33" s="2378"/>
      <c r="G33" s="2379"/>
      <c r="H33" s="1188" t="b">
        <v>0</v>
      </c>
      <c r="I33" s="2398"/>
      <c r="J33" s="2399"/>
      <c r="K33" s="2399"/>
      <c r="L33" s="2399"/>
      <c r="M33" s="2400"/>
      <c r="N33" s="10" t="s">
        <v>984</v>
      </c>
    </row>
    <row r="34" spans="1:19" ht="18">
      <c r="B34" s="2373"/>
      <c r="C34" s="2374"/>
      <c r="D34" s="2380" t="s">
        <v>980</v>
      </c>
      <c r="E34" s="2381"/>
      <c r="F34" s="2381"/>
      <c r="G34" s="2382"/>
      <c r="H34" s="1189" t="b">
        <v>0</v>
      </c>
      <c r="I34" s="2356"/>
      <c r="J34" s="2357"/>
      <c r="K34" s="2357"/>
      <c r="L34" s="2357"/>
      <c r="M34" s="2358"/>
    </row>
    <row r="35" spans="1:19" ht="18">
      <c r="B35" s="2373"/>
      <c r="C35" s="2374"/>
      <c r="D35" s="2380" t="s">
        <v>981</v>
      </c>
      <c r="E35" s="2381"/>
      <c r="F35" s="2381"/>
      <c r="G35" s="2382"/>
      <c r="H35" s="1189" t="b">
        <v>0</v>
      </c>
      <c r="I35" s="2356"/>
      <c r="J35" s="2357"/>
      <c r="K35" s="2357"/>
      <c r="L35" s="2357"/>
      <c r="M35" s="2358"/>
    </row>
    <row r="36" spans="1:19" ht="18.600000000000001" thickBot="1">
      <c r="B36" s="2375"/>
      <c r="C36" s="2376"/>
      <c r="D36" s="2383" t="s">
        <v>982</v>
      </c>
      <c r="E36" s="2384"/>
      <c r="F36" s="2384"/>
      <c r="G36" s="2385"/>
      <c r="H36" s="1190" t="b">
        <v>0</v>
      </c>
      <c r="I36" s="2359"/>
      <c r="J36" s="2360"/>
      <c r="K36" s="2360"/>
      <c r="L36" s="2360"/>
      <c r="M36" s="2361"/>
    </row>
    <row r="37" spans="1:19" ht="18">
      <c r="B37" s="2373" t="s">
        <v>591</v>
      </c>
      <c r="C37" s="2374"/>
      <c r="D37" s="2395" t="s">
        <v>470</v>
      </c>
      <c r="E37" s="2396"/>
      <c r="F37" s="2396"/>
      <c r="G37" s="2397"/>
      <c r="H37" s="1191" t="b">
        <v>0</v>
      </c>
      <c r="I37" s="2356"/>
      <c r="J37" s="2357"/>
      <c r="K37" s="2357"/>
      <c r="L37" s="2357"/>
      <c r="M37" s="2358"/>
    </row>
    <row r="38" spans="1:19" ht="18">
      <c r="B38" s="2373"/>
      <c r="C38" s="2374"/>
      <c r="D38" s="2380" t="s">
        <v>473</v>
      </c>
      <c r="E38" s="2381"/>
      <c r="F38" s="2381"/>
      <c r="G38" s="2382"/>
      <c r="H38" s="1189" t="b">
        <v>0</v>
      </c>
      <c r="I38" s="2356"/>
      <c r="J38" s="2357"/>
      <c r="K38" s="2357"/>
      <c r="L38" s="2357"/>
      <c r="M38" s="2358"/>
    </row>
    <row r="39" spans="1:19" ht="18.600000000000001" thickBot="1">
      <c r="B39" s="2375"/>
      <c r="C39" s="2376"/>
      <c r="D39" s="2383" t="s">
        <v>476</v>
      </c>
      <c r="E39" s="2384"/>
      <c r="F39" s="2384"/>
      <c r="G39" s="2385"/>
      <c r="H39" s="1189" t="b">
        <v>0</v>
      </c>
      <c r="I39" s="2359"/>
      <c r="J39" s="2360"/>
      <c r="K39" s="2360"/>
      <c r="L39" s="2360"/>
      <c r="M39" s="2361"/>
    </row>
    <row r="40" spans="1:19" ht="15" customHeight="1">
      <c r="B40" s="2371" t="s">
        <v>121</v>
      </c>
      <c r="C40" s="2372"/>
      <c r="D40" s="2386"/>
      <c r="E40" s="2387"/>
      <c r="F40" s="2387"/>
      <c r="G40" s="2387"/>
      <c r="H40" s="2387"/>
      <c r="I40" s="2387"/>
      <c r="J40" s="2387"/>
      <c r="K40" s="2387"/>
      <c r="L40" s="2387"/>
      <c r="M40" s="2388"/>
    </row>
    <row r="41" spans="1:19" ht="15" customHeight="1">
      <c r="B41" s="2373"/>
      <c r="C41" s="2374"/>
      <c r="D41" s="2389"/>
      <c r="E41" s="2390"/>
      <c r="F41" s="2390"/>
      <c r="G41" s="2390"/>
      <c r="H41" s="2390"/>
      <c r="I41" s="2390"/>
      <c r="J41" s="2390"/>
      <c r="K41" s="2390"/>
      <c r="L41" s="2390"/>
      <c r="M41" s="2391"/>
    </row>
    <row r="42" spans="1:19" ht="15.75" customHeight="1" thickBot="1">
      <c r="B42" s="2375"/>
      <c r="C42" s="2376"/>
      <c r="D42" s="2392"/>
      <c r="E42" s="2393"/>
      <c r="F42" s="2393"/>
      <c r="G42" s="2393"/>
      <c r="H42" s="2393"/>
      <c r="I42" s="2393"/>
      <c r="J42" s="2393"/>
      <c r="K42" s="2393"/>
      <c r="L42" s="2393"/>
      <c r="M42" s="2394"/>
    </row>
    <row r="43" spans="1:19" ht="18" thickBot="1">
      <c r="B43" s="2155" t="s">
        <v>122</v>
      </c>
      <c r="C43" s="2156"/>
      <c r="D43" s="2156"/>
      <c r="E43" s="1135" t="s">
        <v>985</v>
      </c>
      <c r="F43" s="2157" t="s">
        <v>156</v>
      </c>
      <c r="G43" s="2157"/>
      <c r="H43" s="2157" t="s">
        <v>123</v>
      </c>
      <c r="I43" s="2157"/>
      <c r="J43" s="2157"/>
      <c r="K43" s="1135" t="s">
        <v>124</v>
      </c>
      <c r="L43" s="1135" t="s">
        <v>973</v>
      </c>
      <c r="M43" s="1160" t="s">
        <v>125</v>
      </c>
      <c r="N43" s="1186"/>
      <c r="S43" s="10"/>
    </row>
    <row r="44" spans="1:19" ht="18">
      <c r="B44" s="2149" t="s">
        <v>179</v>
      </c>
      <c r="C44" s="2150"/>
      <c r="D44" s="2150"/>
      <c r="E44" s="1172" t="s">
        <v>41</v>
      </c>
      <c r="F44" s="2176"/>
      <c r="G44" s="2176"/>
      <c r="H44" s="2176"/>
      <c r="I44" s="2176"/>
      <c r="J44" s="2176"/>
      <c r="K44" s="1155"/>
      <c r="L44" s="1048"/>
      <c r="M44" s="1157"/>
      <c r="N44" s="1186"/>
      <c r="S44" s="10"/>
    </row>
    <row r="45" spans="1:19" ht="18">
      <c r="B45" s="2153" t="s">
        <v>180</v>
      </c>
      <c r="C45" s="2154"/>
      <c r="D45" s="2154"/>
      <c r="E45" s="1172" t="s">
        <v>41</v>
      </c>
      <c r="F45" s="2162"/>
      <c r="G45" s="2162"/>
      <c r="H45" s="2162"/>
      <c r="I45" s="2162"/>
      <c r="J45" s="2162"/>
      <c r="K45" s="1156"/>
      <c r="L45" s="1049"/>
      <c r="M45" s="1158"/>
      <c r="N45" s="1186"/>
      <c r="S45" s="10"/>
    </row>
    <row r="46" spans="1:19" ht="18">
      <c r="B46" s="2134" t="s">
        <v>989</v>
      </c>
      <c r="C46" s="2135"/>
      <c r="D46" s="2136"/>
      <c r="E46" s="1172" t="s">
        <v>41</v>
      </c>
      <c r="F46" s="2162"/>
      <c r="G46" s="2162"/>
      <c r="H46" s="2162"/>
      <c r="I46" s="2162"/>
      <c r="J46" s="2162"/>
      <c r="K46" s="1156"/>
      <c r="L46" s="1112"/>
      <c r="M46" s="1158"/>
      <c r="N46" s="1186"/>
      <c r="S46" s="10"/>
    </row>
    <row r="47" spans="1:19" ht="18">
      <c r="A47" s="1" t="s">
        <v>990</v>
      </c>
      <c r="B47" s="2153" t="s">
        <v>376</v>
      </c>
      <c r="C47" s="2154"/>
      <c r="D47" s="2154"/>
      <c r="E47" s="1172" t="s">
        <v>41</v>
      </c>
      <c r="F47" s="2349" t="s">
        <v>915</v>
      </c>
      <c r="G47" s="2350"/>
      <c r="H47" s="2162"/>
      <c r="I47" s="2162"/>
      <c r="J47" s="2162"/>
      <c r="K47" s="1156"/>
      <c r="L47" s="1049"/>
      <c r="M47" s="1158"/>
      <c r="N47" s="1186"/>
      <c r="S47" s="10"/>
    </row>
    <row r="48" spans="1:19" ht="18">
      <c r="A48" s="1" t="s">
        <v>991</v>
      </c>
      <c r="B48" s="2134" t="s">
        <v>913</v>
      </c>
      <c r="C48" s="2135"/>
      <c r="D48" s="2136"/>
      <c r="E48" s="1172" t="s">
        <v>41</v>
      </c>
      <c r="F48" s="2351"/>
      <c r="G48" s="2352"/>
      <c r="H48" s="1151" t="s">
        <v>917</v>
      </c>
      <c r="I48" s="1151"/>
      <c r="J48" s="1151"/>
      <c r="K48" s="1155"/>
      <c r="L48" s="1049"/>
      <c r="M48" s="1158"/>
      <c r="N48" s="1186"/>
      <c r="S48" s="10"/>
    </row>
    <row r="49" spans="1:19" ht="18">
      <c r="A49" s="1" t="s">
        <v>992</v>
      </c>
      <c r="B49" s="1195"/>
      <c r="C49" s="1196"/>
      <c r="D49" s="1197" t="s">
        <v>380</v>
      </c>
      <c r="E49" s="1172" t="s">
        <v>41</v>
      </c>
      <c r="F49" s="2162"/>
      <c r="G49" s="2162"/>
      <c r="H49" s="2402"/>
      <c r="I49" s="2403"/>
      <c r="J49" s="2404"/>
      <c r="K49" s="1156"/>
      <c r="L49" s="1049"/>
      <c r="M49" s="1158"/>
      <c r="N49" s="1186"/>
      <c r="S49" s="10"/>
    </row>
    <row r="50" spans="1:19" ht="18">
      <c r="A50" s="1181" t="s">
        <v>993</v>
      </c>
      <c r="B50" s="1195"/>
      <c r="C50" s="1196"/>
      <c r="D50" s="1197" t="s">
        <v>987</v>
      </c>
      <c r="E50" s="1172"/>
      <c r="F50" s="1134"/>
      <c r="G50" s="1134"/>
      <c r="H50" s="1152"/>
      <c r="I50" s="1153"/>
      <c r="J50" s="1154"/>
      <c r="K50" s="1156"/>
      <c r="L50" s="1049"/>
      <c r="M50" s="1158"/>
      <c r="N50" s="1186"/>
      <c r="S50" s="10"/>
    </row>
    <row r="51" spans="1:19" ht="18">
      <c r="A51" s="1181" t="s">
        <v>994</v>
      </c>
      <c r="B51" s="1195"/>
      <c r="C51" s="1196"/>
      <c r="D51" s="1197" t="s">
        <v>988</v>
      </c>
      <c r="E51" s="1172"/>
      <c r="F51" s="1134"/>
      <c r="G51" s="1134"/>
      <c r="H51" s="1152"/>
      <c r="I51" s="1153"/>
      <c r="J51" s="1154"/>
      <c r="K51" s="1156"/>
      <c r="L51" s="1049"/>
      <c r="M51" s="1158"/>
      <c r="N51" s="1186"/>
      <c r="S51" s="10"/>
    </row>
    <row r="52" spans="1:19" ht="18">
      <c r="A52" s="1" t="s">
        <v>995</v>
      </c>
      <c r="B52" s="1195"/>
      <c r="C52" s="1196"/>
      <c r="D52" s="1197" t="s">
        <v>986</v>
      </c>
      <c r="E52" s="1172"/>
      <c r="F52" s="1134"/>
      <c r="G52" s="1134"/>
      <c r="H52" s="1152"/>
      <c r="I52" s="1153"/>
      <c r="J52" s="1154"/>
      <c r="K52" s="1156"/>
      <c r="L52" s="1049"/>
      <c r="M52" s="1158"/>
      <c r="N52" s="1186"/>
      <c r="S52" s="10"/>
    </row>
    <row r="53" spans="1:19" ht="18">
      <c r="A53" s="1181" t="s">
        <v>129</v>
      </c>
      <c r="B53" s="2153" t="s">
        <v>157</v>
      </c>
      <c r="C53" s="2154"/>
      <c r="D53" s="2154"/>
      <c r="E53" s="1172" t="s">
        <v>41</v>
      </c>
      <c r="F53" s="2162"/>
      <c r="G53" s="2162"/>
      <c r="H53" s="2402"/>
      <c r="I53" s="2403"/>
      <c r="J53" s="2404"/>
      <c r="K53" s="1156"/>
      <c r="L53" s="1049"/>
      <c r="M53" s="1158"/>
      <c r="N53" s="1186"/>
      <c r="S53" s="10"/>
    </row>
    <row r="54" spans="1:19" ht="18">
      <c r="A54" s="1181" t="s">
        <v>996</v>
      </c>
      <c r="B54" s="2134" t="s">
        <v>378</v>
      </c>
      <c r="C54" s="2135"/>
      <c r="D54" s="2136"/>
      <c r="E54" s="1172" t="s">
        <v>41</v>
      </c>
      <c r="F54" s="2162" t="s">
        <v>916</v>
      </c>
      <c r="G54" s="2162"/>
      <c r="H54" s="2402"/>
      <c r="I54" s="2403"/>
      <c r="J54" s="2404"/>
      <c r="K54" s="1155"/>
      <c r="L54" s="1050"/>
      <c r="M54" s="1159"/>
      <c r="N54" s="1186"/>
      <c r="S54" s="10"/>
    </row>
    <row r="55" spans="1:19" ht="18.600000000000001" thickBot="1">
      <c r="B55" s="2134" t="s">
        <v>129</v>
      </c>
      <c r="C55" s="2135"/>
      <c r="D55" s="2136"/>
      <c r="E55" s="1172" t="s">
        <v>41</v>
      </c>
      <c r="F55" s="2180"/>
      <c r="G55" s="2180"/>
      <c r="H55" s="2405"/>
      <c r="I55" s="2406"/>
      <c r="J55" s="2407"/>
      <c r="K55" s="1167"/>
      <c r="L55" s="1168"/>
      <c r="M55" s="1169"/>
      <c r="N55" s="1186"/>
    </row>
    <row r="56" spans="1:19" ht="18.600000000000001" thickBot="1">
      <c r="B56" s="2134" t="s">
        <v>996</v>
      </c>
      <c r="C56" s="2135"/>
      <c r="D56" s="2136"/>
      <c r="E56" s="1173"/>
      <c r="F56" s="1174"/>
      <c r="G56" s="1174"/>
      <c r="H56" s="1175"/>
      <c r="I56" s="1176"/>
      <c r="J56" s="1177"/>
      <c r="K56" s="1178"/>
      <c r="L56" s="1179"/>
      <c r="M56" s="1180"/>
      <c r="N56" s="1186"/>
    </row>
    <row r="57" spans="1:19" ht="18" thickBot="1">
      <c r="B57" s="2181" t="s">
        <v>950</v>
      </c>
      <c r="C57" s="2157"/>
      <c r="D57" s="2157"/>
      <c r="E57" s="2157"/>
      <c r="F57" s="2157"/>
      <c r="G57" s="2157"/>
      <c r="H57" s="2157"/>
      <c r="I57" s="2157"/>
      <c r="J57" s="2157"/>
      <c r="K57" s="2157"/>
      <c r="L57" s="2157"/>
      <c r="M57" s="2182"/>
    </row>
    <row r="58" spans="1:19" ht="27" customHeight="1" thickBot="1">
      <c r="B58" s="1161"/>
      <c r="C58" s="2183"/>
      <c r="D58" s="2183"/>
      <c r="E58" s="2183"/>
      <c r="F58" s="2183"/>
      <c r="G58" s="2183"/>
      <c r="H58" s="2183"/>
      <c r="I58" s="2183"/>
      <c r="J58" s="2183"/>
      <c r="K58" s="2183"/>
      <c r="L58" s="2183"/>
      <c r="M58" s="1162"/>
    </row>
    <row r="59" spans="1:19" ht="18" customHeight="1" thickBot="1">
      <c r="B59" s="2181" t="s">
        <v>1000</v>
      </c>
      <c r="C59" s="2157"/>
      <c r="D59" s="2157"/>
      <c r="E59" s="2157"/>
      <c r="F59" s="2157"/>
      <c r="G59" s="2157"/>
      <c r="H59" s="2157"/>
      <c r="I59" s="2157"/>
      <c r="J59" s="2157"/>
      <c r="K59" s="2157"/>
      <c r="L59" s="2157"/>
      <c r="M59" s="2182"/>
      <c r="N59" s="2401" t="s">
        <v>951</v>
      </c>
      <c r="O59" s="2401"/>
    </row>
    <row r="60" spans="1:19" ht="203.25" customHeight="1" thickBot="1">
      <c r="B60" s="1193"/>
      <c r="C60" s="2137" t="str">
        <f>IF(ch_nappe=TRUE,hydro_nappe,IF(ch_sondes=TRUE,hydro_sondes,IF(ch_eauxusees=TRUE, hydro_eauxusées,IF(ch_surface=TRUE,'menus geothermie'!P10,""))))</f>
        <v xml:space="preserve">o PAC sur sondes : 
- L'étude du sous-sol et le dimensionnement des équipements sous-sol et surface, selon le cahier des charges ADEME, réalisée par un prestataire d'étude qualifié RGE 1007 et/ou 2013.
- Le cas échéant (si L&gt;1000 m), le rapport du Test de Réponse thermique du Terrain (TRT), selon le cahier des charges ADEME, avec une géomodélisation (sous-sol et surface), réalisé par un foreur qualifié RGE et un prestataire d'étude qualifié RGE 1007 et/ou 2013. Les résultats du TRT seront transmis soit au moment du dépôt de dossier, soit intégrés au rapport intermédiaire si ils sont réalisés après l'instruction du dossier. </v>
      </c>
      <c r="D60" s="2138"/>
      <c r="E60" s="2138"/>
      <c r="F60" s="2138"/>
      <c r="G60" s="2138"/>
      <c r="H60" s="2138"/>
      <c r="I60" s="2138"/>
      <c r="J60" s="2138"/>
      <c r="K60" s="2138"/>
      <c r="L60" s="2138"/>
      <c r="M60" s="1194"/>
      <c r="N60" s="2401"/>
      <c r="O60" s="2401"/>
    </row>
    <row r="61" spans="1:19" ht="18" thickBot="1">
      <c r="B61" s="2163" t="s">
        <v>6</v>
      </c>
      <c r="C61" s="2164"/>
      <c r="D61" s="2164"/>
      <c r="E61" s="2164"/>
      <c r="F61" s="2164"/>
      <c r="G61" s="2164"/>
      <c r="H61" s="2164"/>
      <c r="I61" s="2164"/>
      <c r="J61" s="2164"/>
      <c r="K61" s="2164"/>
      <c r="L61" s="2164"/>
      <c r="M61" s="2165"/>
    </row>
    <row r="62" spans="1:19" ht="34.5" customHeight="1" thickBot="1">
      <c r="B62" s="1182"/>
      <c r="C62" s="2177"/>
      <c r="D62" s="2177"/>
      <c r="E62" s="2177"/>
      <c r="F62" s="2177"/>
      <c r="G62" s="2177"/>
      <c r="H62" s="2177"/>
      <c r="I62" s="2177"/>
      <c r="J62" s="1183"/>
      <c r="K62" s="1183"/>
      <c r="L62" s="1183"/>
      <c r="M62" s="1184"/>
    </row>
    <row r="63" spans="1:19" ht="18" thickBot="1">
      <c r="B63" s="2181" t="s">
        <v>388</v>
      </c>
      <c r="C63" s="2157"/>
      <c r="D63" s="2157"/>
      <c r="E63" s="2157"/>
      <c r="F63" s="2157"/>
      <c r="G63" s="2157"/>
      <c r="H63" s="2157"/>
      <c r="I63" s="2157"/>
      <c r="J63" s="2157"/>
      <c r="K63" s="2157"/>
      <c r="L63" s="2157"/>
      <c r="M63" s="2182"/>
    </row>
    <row r="64" spans="1:19" ht="15.6">
      <c r="B64" s="71"/>
      <c r="C64" s="2185" t="s">
        <v>389</v>
      </c>
      <c r="D64" s="2185"/>
      <c r="E64" s="2185"/>
      <c r="F64" s="2185"/>
      <c r="G64" s="2185"/>
      <c r="H64" s="2185" t="s">
        <v>390</v>
      </c>
      <c r="I64" s="2185"/>
      <c r="J64" s="2185"/>
      <c r="K64" s="2185" t="s">
        <v>391</v>
      </c>
      <c r="L64" s="2185"/>
      <c r="M64" s="1163"/>
    </row>
    <row r="65" spans="2:20">
      <c r="B65" s="71"/>
      <c r="C65" s="2184"/>
      <c r="D65" s="2184"/>
      <c r="E65" s="2184"/>
      <c r="F65" s="2184"/>
      <c r="G65" s="2184"/>
      <c r="H65" s="2184"/>
      <c r="I65" s="2184"/>
      <c r="J65" s="2184"/>
      <c r="K65" s="2184"/>
      <c r="L65" s="2184"/>
      <c r="M65" s="1163"/>
    </row>
    <row r="66" spans="2:20">
      <c r="B66" s="71"/>
      <c r="C66" s="2184"/>
      <c r="D66" s="2184"/>
      <c r="E66" s="2184"/>
      <c r="F66" s="2184"/>
      <c r="G66" s="2184"/>
      <c r="H66" s="2184"/>
      <c r="I66" s="2184"/>
      <c r="J66" s="2184"/>
      <c r="K66" s="81"/>
      <c r="L66" s="81"/>
      <c r="M66" s="1163"/>
    </row>
    <row r="67" spans="2:20">
      <c r="B67" s="71"/>
      <c r="C67" s="2184"/>
      <c r="D67" s="2184"/>
      <c r="E67" s="2184"/>
      <c r="F67" s="2184"/>
      <c r="G67" s="2184"/>
      <c r="H67" s="2184"/>
      <c r="I67" s="2184"/>
      <c r="J67" s="2184"/>
      <c r="K67" s="81"/>
      <c r="L67" s="81"/>
      <c r="M67" s="1163"/>
    </row>
    <row r="68" spans="2:20">
      <c r="B68" s="71"/>
      <c r="C68" s="2184" t="s">
        <v>914</v>
      </c>
      <c r="D68" s="2184"/>
      <c r="E68" s="2184"/>
      <c r="F68" s="2184"/>
      <c r="G68" s="2184"/>
      <c r="H68" s="2184"/>
      <c r="I68" s="2184"/>
      <c r="J68" s="2184"/>
      <c r="K68" s="2184"/>
      <c r="L68" s="2184"/>
      <c r="M68" s="1163"/>
    </row>
    <row r="69" spans="2:20" ht="15" customHeight="1">
      <c r="B69" s="1164"/>
      <c r="C69" s="2184" t="s">
        <v>914</v>
      </c>
      <c r="D69" s="2184"/>
      <c r="E69" s="2184"/>
      <c r="F69" s="2184"/>
      <c r="G69" s="2184"/>
      <c r="H69" s="2184"/>
      <c r="I69" s="2184"/>
      <c r="J69" s="2184"/>
      <c r="K69" s="2184"/>
      <c r="L69" s="2184"/>
      <c r="M69" s="1163"/>
      <c r="O69" s="2063"/>
      <c r="T69" s="189"/>
    </row>
    <row r="70" spans="2:20" ht="14.25" customHeight="1">
      <c r="B70" s="1164"/>
      <c r="C70" s="2184" t="s">
        <v>914</v>
      </c>
      <c r="D70" s="2184"/>
      <c r="E70" s="2184"/>
      <c r="F70" s="2184"/>
      <c r="G70" s="2184"/>
      <c r="H70" s="2184"/>
      <c r="I70" s="2184"/>
      <c r="J70" s="2184"/>
      <c r="K70" s="2184"/>
      <c r="L70" s="2184"/>
      <c r="M70" s="1163"/>
      <c r="O70" s="2063"/>
    </row>
    <row r="71" spans="2:20" ht="15" thickBot="1">
      <c r="B71" s="1165"/>
      <c r="C71" s="2190" t="s">
        <v>914</v>
      </c>
      <c r="D71" s="2190"/>
      <c r="E71" s="2190"/>
      <c r="F71" s="2190"/>
      <c r="G71" s="2190"/>
      <c r="H71" s="2190"/>
      <c r="I71" s="2190"/>
      <c r="J71" s="2190"/>
      <c r="K71" s="2190"/>
      <c r="L71" s="2190"/>
      <c r="M71" s="1166"/>
      <c r="O71" s="2063"/>
    </row>
    <row r="72" spans="2:20" ht="18.600000000000001">
      <c r="B72" s="520"/>
      <c r="C72" s="521"/>
      <c r="D72" s="521"/>
      <c r="E72" s="521"/>
      <c r="F72" s="522"/>
      <c r="G72" s="523"/>
      <c r="H72" s="522"/>
      <c r="I72" s="7"/>
      <c r="J72" s="213"/>
      <c r="K72" s="213"/>
      <c r="L72" s="213"/>
      <c r="M72" s="213"/>
    </row>
    <row r="73" spans="2:20" ht="18.75" customHeight="1">
      <c r="B73" s="536"/>
      <c r="C73" s="536"/>
      <c r="D73" s="536"/>
      <c r="E73" s="536"/>
      <c r="F73" s="535"/>
      <c r="G73" s="523"/>
      <c r="H73" s="522"/>
      <c r="I73" s="7"/>
      <c r="J73" s="213"/>
      <c r="K73" s="213"/>
      <c r="L73" s="213"/>
      <c r="M73" s="213"/>
    </row>
    <row r="74" spans="2:20" ht="18.600000000000001">
      <c r="B74" s="536"/>
      <c r="C74" s="536"/>
      <c r="D74" s="536"/>
      <c r="E74" s="536"/>
      <c r="F74" s="535"/>
      <c r="G74" s="523"/>
      <c r="H74" s="522"/>
      <c r="I74" s="7"/>
      <c r="J74" s="213"/>
      <c r="K74" s="213"/>
      <c r="L74" s="213"/>
      <c r="M74" s="213"/>
    </row>
    <row r="75" spans="2:20" ht="19.2" thickBot="1">
      <c r="B75" s="536"/>
      <c r="C75" s="536"/>
      <c r="D75" s="536"/>
      <c r="E75" s="536"/>
      <c r="F75" s="522"/>
      <c r="G75" s="523"/>
      <c r="H75" s="522"/>
      <c r="I75" s="7"/>
      <c r="J75" s="213"/>
      <c r="K75" s="213"/>
      <c r="L75" s="213"/>
      <c r="M75" s="213"/>
    </row>
    <row r="76" spans="2:20" ht="18.600000000000001" thickBot="1">
      <c r="B76" s="2173" t="s">
        <v>628</v>
      </c>
      <c r="C76" s="2174"/>
      <c r="D76" s="2174"/>
      <c r="E76" s="2174"/>
      <c r="F76" s="2174"/>
      <c r="G76" s="2174"/>
      <c r="H76" s="2174"/>
      <c r="I76" s="2174"/>
      <c r="J76" s="2174"/>
      <c r="K76" s="2174"/>
      <c r="L76" s="2174"/>
      <c r="M76" s="2175"/>
    </row>
    <row r="77" spans="2:20" ht="18">
      <c r="B77" s="1026" t="s">
        <v>623</v>
      </c>
      <c r="C77" s="2178" t="s">
        <v>622</v>
      </c>
      <c r="D77" s="2178"/>
      <c r="E77" s="2178"/>
      <c r="F77" s="2178"/>
      <c r="G77" s="2178"/>
      <c r="H77" s="2178"/>
      <c r="I77" s="2178"/>
      <c r="J77" s="2178"/>
      <c r="K77" s="2178"/>
      <c r="L77" s="2178"/>
      <c r="M77" s="2179"/>
    </row>
    <row r="78" spans="2:20" ht="18">
      <c r="B78" s="1056" t="s">
        <v>40</v>
      </c>
      <c r="C78" s="2365" t="s">
        <v>625</v>
      </c>
      <c r="D78" s="2366"/>
      <c r="E78" s="2366"/>
      <c r="F78" s="2366"/>
      <c r="G78" s="2366"/>
      <c r="H78" s="2366"/>
      <c r="I78" s="2366"/>
      <c r="J78" s="2366"/>
      <c r="K78" s="2366"/>
      <c r="L78" s="2366"/>
      <c r="M78" s="2366"/>
    </row>
    <row r="79" spans="2:20" ht="39.75" customHeight="1">
      <c r="B79" s="1056" t="s">
        <v>998</v>
      </c>
      <c r="C79" s="2367" t="str">
        <f>IF(OR(ch_eauxusees=TRUE,ch_surface=TRUE), "", "• Attestation de qualification du foreur - RGE Qualiforage (valide au moment de la réalisation; les attestations provisoires ou en cours d'instruction sont acceptées, uniquement pour les BE fluides) ")</f>
        <v/>
      </c>
      <c r="D79" s="2368"/>
      <c r="E79" s="2368"/>
      <c r="F79" s="2368"/>
      <c r="G79" s="2368"/>
      <c r="H79" s="2368"/>
      <c r="I79" s="2368"/>
      <c r="J79" s="2368"/>
      <c r="K79" s="2368"/>
      <c r="L79" s="2368"/>
      <c r="M79" s="2368"/>
    </row>
    <row r="80" spans="2:20" ht="42.75" customHeight="1">
      <c r="B80" s="1056" t="s">
        <v>998</v>
      </c>
      <c r="C80" s="2347" t="str">
        <f>IF(OR(ch_eauxusees=TRUE,ch_surface =TRUE), "", "• Attestation de qualification du BE sous-sol - OPQIBI(valide au moment de la réalisation; les attestations provisoires ou en cours d'instruction sont acceptées, uniquement pour les BE fluides) ")</f>
        <v/>
      </c>
      <c r="D80" s="2348"/>
      <c r="E80" s="2348"/>
      <c r="F80" s="2348"/>
      <c r="G80" s="2348"/>
      <c r="H80" s="2348"/>
      <c r="I80" s="2348"/>
      <c r="J80" s="2348"/>
      <c r="K80" s="2348"/>
      <c r="L80" s="2348"/>
      <c r="M80" s="2348"/>
    </row>
    <row r="81" spans="1:37" ht="42.75" customHeight="1">
      <c r="B81" s="1056" t="s">
        <v>41</v>
      </c>
      <c r="C81" s="2347" t="s">
        <v>918</v>
      </c>
      <c r="D81" s="2348"/>
      <c r="E81" s="2348"/>
      <c r="F81" s="2348"/>
      <c r="G81" s="2348"/>
      <c r="H81" s="2348"/>
      <c r="I81" s="2348"/>
      <c r="J81" s="2348"/>
      <c r="K81" s="2348"/>
      <c r="L81" s="2348"/>
      <c r="M81" s="2348"/>
      <c r="N81" s="10" t="s">
        <v>919</v>
      </c>
    </row>
    <row r="82" spans="1:37" ht="19.5" customHeight="1">
      <c r="B82" s="1056" t="s">
        <v>41</v>
      </c>
      <c r="C82" s="2347" t="s">
        <v>598</v>
      </c>
      <c r="D82" s="2348"/>
      <c r="E82" s="2348"/>
      <c r="F82" s="2348"/>
      <c r="G82" s="2348"/>
      <c r="H82" s="2348"/>
      <c r="I82" s="2348"/>
      <c r="J82" s="2348"/>
      <c r="K82" s="2348"/>
      <c r="L82" s="2348"/>
      <c r="M82" s="2348"/>
    </row>
    <row r="83" spans="1:37" ht="65.25" customHeight="1">
      <c r="B83" s="1056" t="s">
        <v>40</v>
      </c>
      <c r="C83" s="1113"/>
      <c r="D83" s="2369" t="s">
        <v>910</v>
      </c>
      <c r="E83" s="2369"/>
      <c r="F83" s="2369"/>
      <c r="G83" s="2369"/>
      <c r="H83" s="2369"/>
      <c r="I83" s="2369"/>
      <c r="J83" s="2369"/>
      <c r="K83" s="2369"/>
      <c r="L83" s="2369"/>
      <c r="M83" s="2370"/>
      <c r="S83" s="10"/>
    </row>
    <row r="84" spans="1:37">
      <c r="B84" s="1056" t="s">
        <v>40</v>
      </c>
      <c r="C84" s="1114"/>
      <c r="D84" s="2208" t="s">
        <v>911</v>
      </c>
      <c r="E84" s="2208"/>
      <c r="F84" s="2208"/>
      <c r="G84" s="2208"/>
      <c r="H84" s="2208"/>
      <c r="I84" s="2208"/>
      <c r="J84" s="2208"/>
      <c r="K84" s="2208"/>
      <c r="L84" s="2208"/>
      <c r="M84" s="2209"/>
      <c r="S84" s="10"/>
    </row>
    <row r="85" spans="1:37" ht="30.75" customHeight="1">
      <c r="B85" s="1056" t="s">
        <v>998</v>
      </c>
      <c r="C85" s="1114"/>
      <c r="D85" s="2186" t="str">
        <f>IF(ch_sondes=TRUE,"• PAC sur sondes : normes NFX 10-960-1, 10 960-2, 10 960-3, 10 960-4, NFX 10-970 relatives à la mise en place des sondes géothermiques verticales","")</f>
        <v>• PAC sur sondes : normes NFX 10-960-1, 10 960-2, 10 960-3, 10 960-4, NFX 10-970 relatives à la mise en place des sondes géothermiques verticales</v>
      </c>
      <c r="E85" s="2186"/>
      <c r="F85" s="2186"/>
      <c r="G85" s="2186"/>
      <c r="H85" s="2186"/>
      <c r="I85" s="2186"/>
      <c r="J85" s="2186"/>
      <c r="K85" s="2186"/>
      <c r="L85" s="2186"/>
      <c r="M85" s="2187"/>
      <c r="S85" s="10"/>
    </row>
    <row r="86" spans="1:37">
      <c r="B86" s="1192" t="s">
        <v>998</v>
      </c>
      <c r="C86" s="1114"/>
      <c r="D86" s="2208" t="str">
        <f>IF(ch_nappe=TRUE,"• PAC sur nappe : Respect des normes de forage d’eau (NFX 10-999).","")</f>
        <v/>
      </c>
      <c r="E86" s="2208"/>
      <c r="F86" s="2208"/>
      <c r="G86" s="2208"/>
      <c r="H86" s="2208"/>
      <c r="I86" s="2208"/>
      <c r="J86" s="2208"/>
      <c r="K86" s="2208"/>
      <c r="L86" s="2208"/>
      <c r="M86" s="2209"/>
      <c r="S86" s="10"/>
    </row>
    <row r="87" spans="1:37" ht="45.75" customHeight="1">
      <c r="B87" s="1056" t="s">
        <v>40</v>
      </c>
      <c r="C87" s="1027"/>
      <c r="D87" s="2363" t="s">
        <v>912</v>
      </c>
      <c r="E87" s="2363"/>
      <c r="F87" s="2363"/>
      <c r="G87" s="2363"/>
      <c r="H87" s="2363"/>
      <c r="I87" s="2363"/>
      <c r="J87" s="2363"/>
      <c r="K87" s="2363"/>
      <c r="L87" s="2363"/>
      <c r="M87" s="2364"/>
      <c r="S87" s="10"/>
    </row>
    <row r="88" spans="1:37" s="1" customFormat="1" ht="54" customHeight="1">
      <c r="C88" s="2362" t="s">
        <v>952</v>
      </c>
      <c r="D88" s="2362"/>
      <c r="E88" s="2362"/>
      <c r="F88" s="2362"/>
      <c r="G88" s="2362"/>
      <c r="H88" s="2362"/>
      <c r="I88" s="2362"/>
      <c r="J88" s="2362"/>
      <c r="K88" s="2362"/>
      <c r="L88" s="2362"/>
      <c r="M88" s="2362"/>
      <c r="N88" s="10"/>
      <c r="O88" s="10"/>
      <c r="P88" s="10"/>
      <c r="Q88" s="10"/>
      <c r="R88" s="10"/>
      <c r="U88" s="216"/>
      <c r="V88"/>
      <c r="W88"/>
      <c r="X88"/>
      <c r="Y88"/>
      <c r="Z88"/>
      <c r="AA88"/>
      <c r="AB88"/>
      <c r="AC88"/>
      <c r="AD88"/>
      <c r="AE88"/>
      <c r="AF88"/>
      <c r="AG88"/>
      <c r="AH88"/>
      <c r="AI88"/>
      <c r="AJ88"/>
      <c r="AK88"/>
    </row>
    <row r="89" spans="1:37" ht="15" customHeight="1">
      <c r="A89" s="10"/>
      <c r="B89" s="10"/>
      <c r="C89" s="10"/>
      <c r="D89" s="10"/>
      <c r="E89" s="10"/>
      <c r="F89" s="10"/>
      <c r="G89" s="10"/>
      <c r="H89" s="10"/>
      <c r="I89" s="10"/>
      <c r="J89" s="10"/>
      <c r="K89" s="10"/>
      <c r="L89" s="10"/>
      <c r="M89" s="10"/>
    </row>
    <row r="90" spans="1:37" ht="15" customHeight="1">
      <c r="A90" s="10"/>
      <c r="B90" s="10"/>
      <c r="C90" s="10"/>
      <c r="D90" s="10"/>
      <c r="E90" s="10"/>
      <c r="F90" s="10"/>
      <c r="G90" s="10"/>
      <c r="H90" s="10"/>
      <c r="I90" s="10"/>
      <c r="J90" s="10"/>
      <c r="K90" s="10"/>
      <c r="L90" s="10"/>
      <c r="M90" s="10"/>
    </row>
    <row r="91" spans="1:37" ht="15" customHeight="1">
      <c r="A91" s="10"/>
      <c r="B91" s="10"/>
      <c r="C91" s="10"/>
      <c r="D91" s="10"/>
      <c r="E91" s="10"/>
      <c r="F91" s="10"/>
      <c r="G91" s="10"/>
      <c r="H91" s="10"/>
      <c r="I91" s="10"/>
      <c r="J91" s="10"/>
      <c r="K91" s="10"/>
      <c r="L91" s="10"/>
      <c r="M91" s="10"/>
    </row>
    <row r="92" spans="1:37" ht="15" customHeight="1">
      <c r="A92" s="10"/>
      <c r="B92" s="10"/>
      <c r="C92" s="10"/>
      <c r="D92" s="10"/>
      <c r="E92" s="10"/>
      <c r="F92" s="10"/>
      <c r="G92" s="10"/>
      <c r="H92" s="10"/>
      <c r="I92" s="10"/>
      <c r="J92" s="10"/>
      <c r="K92" s="10"/>
      <c r="L92" s="10"/>
      <c r="M92" s="10"/>
    </row>
    <row r="93" spans="1:37">
      <c r="A93" s="4"/>
      <c r="B93" s="4"/>
      <c r="C93" s="4"/>
      <c r="D93" s="4"/>
      <c r="E93" s="4"/>
      <c r="F93" s="4"/>
      <c r="G93" s="4"/>
      <c r="H93" s="4"/>
      <c r="I93" s="4"/>
      <c r="J93" s="4"/>
      <c r="K93" s="4"/>
      <c r="L93" s="4"/>
      <c r="M93" s="15"/>
    </row>
    <row r="94" spans="1:37" ht="15" thickBot="1">
      <c r="A94" s="4"/>
      <c r="B94" s="4"/>
      <c r="C94" s="4"/>
      <c r="D94" s="4"/>
      <c r="E94" s="4"/>
      <c r="F94" s="4"/>
      <c r="G94" s="4"/>
      <c r="H94" s="4"/>
      <c r="I94" s="4"/>
      <c r="J94" s="4"/>
      <c r="K94" s="4"/>
      <c r="L94" s="4"/>
      <c r="M94" s="15"/>
    </row>
    <row r="95" spans="1:37" s="1" customFormat="1" ht="18.600000000000001" thickBot="1">
      <c r="B95" s="2173" t="s">
        <v>893</v>
      </c>
      <c r="C95" s="2174"/>
      <c r="D95" s="2174"/>
      <c r="E95" s="2174"/>
      <c r="F95" s="2174"/>
      <c r="G95" s="2174"/>
      <c r="H95" s="2174"/>
      <c r="I95" s="2174"/>
      <c r="J95" s="2174"/>
      <c r="K95" s="2174"/>
      <c r="L95" s="2174"/>
      <c r="M95" s="2175"/>
      <c r="N95" s="87"/>
      <c r="O95" s="85"/>
      <c r="P95" s="85"/>
      <c r="Q95" s="85"/>
      <c r="R95" s="85"/>
      <c r="U95" s="216"/>
      <c r="V95"/>
      <c r="W95"/>
      <c r="X95"/>
      <c r="Y95"/>
      <c r="Z95"/>
      <c r="AA95"/>
      <c r="AB95"/>
      <c r="AC95"/>
      <c r="AD95"/>
      <c r="AE95"/>
      <c r="AF95"/>
      <c r="AG95"/>
      <c r="AH95"/>
      <c r="AI95"/>
      <c r="AJ95"/>
      <c r="AK95"/>
    </row>
    <row r="96" spans="1:37" ht="18">
      <c r="B96" s="2301" t="s">
        <v>162</v>
      </c>
      <c r="C96" s="2302"/>
      <c r="D96" s="2302"/>
      <c r="E96" s="2302"/>
      <c r="F96" s="2302"/>
      <c r="G96" s="2302"/>
      <c r="H96" s="2302"/>
      <c r="I96" s="2302"/>
      <c r="J96" s="2302"/>
      <c r="K96" s="2302"/>
      <c r="L96" s="2302"/>
      <c r="M96" s="2303"/>
      <c r="N96" s="87"/>
      <c r="O96" s="85"/>
      <c r="P96" s="85"/>
      <c r="Q96" s="85"/>
      <c r="R96" s="85"/>
    </row>
    <row r="97" spans="1:37" ht="15" hidden="1" customHeight="1">
      <c r="B97" s="2304" t="s">
        <v>138</v>
      </c>
      <c r="C97" s="2305"/>
      <c r="D97" s="2305"/>
      <c r="E97" s="2305"/>
      <c r="F97" s="2305"/>
      <c r="G97" s="2305"/>
      <c r="H97" s="2306"/>
      <c r="I97" s="1051">
        <f>COUNTIF(G102:R102,"Existant")+COUNTIF(G102:R102,"Abandonné pour le projet")</f>
        <v>1</v>
      </c>
      <c r="J97" s="2307"/>
      <c r="K97" s="2308"/>
      <c r="L97" s="2308"/>
      <c r="M97" s="2309"/>
      <c r="N97" s="88"/>
      <c r="O97" s="86"/>
      <c r="P97" s="86"/>
      <c r="Q97" s="86"/>
      <c r="R97" s="65"/>
    </row>
    <row r="98" spans="1:37" ht="15" customHeight="1">
      <c r="B98" s="2313" t="s">
        <v>140</v>
      </c>
      <c r="C98" s="2314"/>
      <c r="D98" s="2314"/>
      <c r="E98" s="2314"/>
      <c r="F98" s="2314"/>
      <c r="G98" s="2314"/>
      <c r="H98" s="2315"/>
      <c r="I98" s="1012">
        <f>COUNTIF(G102:R102,"Existant")+COUNTIF(G102:R102,"Neuf")</f>
        <v>3</v>
      </c>
      <c r="J98" s="2310"/>
      <c r="K98" s="2311"/>
      <c r="L98" s="2311"/>
      <c r="M98" s="2312"/>
      <c r="N98" s="88"/>
      <c r="O98" s="86"/>
      <c r="P98" s="86"/>
      <c r="Q98" s="86"/>
      <c r="R98" s="86"/>
    </row>
    <row r="99" spans="1:37">
      <c r="B99" s="2316" t="s">
        <v>366</v>
      </c>
      <c r="C99" s="2317"/>
      <c r="D99" s="2317"/>
      <c r="E99" s="2317"/>
      <c r="F99" s="2318"/>
      <c r="G99" s="1017" t="s">
        <v>146</v>
      </c>
      <c r="H99" s="1018" t="s">
        <v>818</v>
      </c>
      <c r="I99" s="1013" t="s">
        <v>886</v>
      </c>
      <c r="J99" s="950"/>
      <c r="K99" s="950"/>
      <c r="L99" s="950"/>
      <c r="M99" s="951"/>
      <c r="N99" s="89"/>
      <c r="O99" s="81"/>
      <c r="P99" s="81"/>
      <c r="Q99" s="81"/>
      <c r="R99" s="81"/>
    </row>
    <row r="100" spans="1:37">
      <c r="B100" s="2319" t="s">
        <v>9</v>
      </c>
      <c r="C100" s="2320"/>
      <c r="D100" s="2320"/>
      <c r="E100" s="2320"/>
      <c r="F100" s="2321"/>
      <c r="G100" s="1015" t="s">
        <v>825</v>
      </c>
      <c r="H100" s="1016" t="s">
        <v>346</v>
      </c>
      <c r="I100" s="1010" t="s">
        <v>346</v>
      </c>
      <c r="J100" s="952"/>
      <c r="K100" s="952"/>
      <c r="L100" s="952"/>
      <c r="M100" s="953"/>
      <c r="N100" s="90"/>
      <c r="O100" s="66"/>
      <c r="P100" s="66"/>
      <c r="Q100" s="66"/>
      <c r="R100" s="66"/>
    </row>
    <row r="101" spans="1:37">
      <c r="B101" s="2214" t="s">
        <v>925</v>
      </c>
      <c r="C101" s="2215"/>
      <c r="D101" s="2215"/>
      <c r="E101" s="2215"/>
      <c r="F101" s="2216"/>
      <c r="G101" s="1119" t="s">
        <v>825</v>
      </c>
      <c r="H101" s="1120"/>
      <c r="I101" s="1121"/>
      <c r="J101" s="1122"/>
      <c r="K101" s="1122"/>
      <c r="L101" s="1122"/>
      <c r="M101" s="1123"/>
      <c r="N101" s="1124"/>
      <c r="O101" s="1125"/>
      <c r="P101" s="1125"/>
      <c r="Q101" s="1125"/>
      <c r="R101" s="1125"/>
    </row>
    <row r="102" spans="1:37" ht="15.75" customHeight="1">
      <c r="B102" s="2322" t="s">
        <v>165</v>
      </c>
      <c r="C102" s="2323"/>
      <c r="D102" s="2323"/>
      <c r="E102" s="2323"/>
      <c r="F102" s="2324"/>
      <c r="G102" s="1011" t="s">
        <v>74</v>
      </c>
      <c r="H102" s="1014" t="s">
        <v>75</v>
      </c>
      <c r="I102" s="1011" t="s">
        <v>74</v>
      </c>
      <c r="J102" s="954"/>
      <c r="K102" s="954"/>
      <c r="L102" s="954"/>
      <c r="M102" s="955"/>
      <c r="N102" s="91"/>
      <c r="O102" s="82"/>
      <c r="P102" s="82"/>
      <c r="Q102" s="82"/>
      <c r="R102" s="82"/>
    </row>
    <row r="103" spans="1:37" ht="18" thickBot="1">
      <c r="B103" s="2188" t="s">
        <v>816</v>
      </c>
      <c r="C103" s="2189"/>
      <c r="D103" s="2189"/>
      <c r="E103" s="2189"/>
      <c r="F103" s="2189"/>
      <c r="G103" s="2189"/>
      <c r="H103" s="2189"/>
      <c r="I103" s="2189"/>
      <c r="J103" s="2189"/>
      <c r="K103" s="2189"/>
      <c r="L103" s="2189"/>
      <c r="M103" s="2325"/>
      <c r="N103" s="2198"/>
      <c r="O103" s="2198"/>
      <c r="P103" s="2198"/>
      <c r="Q103" s="2198"/>
      <c r="R103" s="2198"/>
    </row>
    <row r="104" spans="1:37">
      <c r="B104" s="2199"/>
      <c r="C104" s="2200"/>
      <c r="D104" s="2200"/>
      <c r="E104" s="2201"/>
      <c r="F104" s="1021" t="s">
        <v>72</v>
      </c>
      <c r="G104" s="2202" t="s">
        <v>213</v>
      </c>
      <c r="H104" s="2203"/>
      <c r="I104" s="2203"/>
      <c r="J104" s="2203"/>
      <c r="K104" s="2203"/>
      <c r="L104" s="2203"/>
      <c r="M104" s="2204"/>
      <c r="N104" s="185"/>
      <c r="O104" s="84"/>
      <c r="P104" s="84"/>
      <c r="Q104" s="84"/>
      <c r="R104" s="84"/>
    </row>
    <row r="105" spans="1:37" ht="15.6">
      <c r="B105" s="2196" t="s">
        <v>73</v>
      </c>
      <c r="C105" s="2197"/>
      <c r="D105" s="2197"/>
      <c r="E105" s="1093" t="s">
        <v>108</v>
      </c>
      <c r="F105" s="1022">
        <f>SUM(G105:M105)</f>
        <v>791</v>
      </c>
      <c r="G105" s="958">
        <v>791</v>
      </c>
      <c r="H105" s="958"/>
      <c r="I105" s="958"/>
      <c r="J105" s="958"/>
      <c r="K105" s="958"/>
      <c r="L105" s="958"/>
      <c r="M105" s="959"/>
      <c r="N105" s="92"/>
      <c r="O105" s="68"/>
      <c r="P105" s="68"/>
      <c r="Q105" s="68"/>
      <c r="R105" s="68"/>
    </row>
    <row r="106" spans="1:37" ht="15" customHeight="1">
      <c r="B106" s="2196" t="s">
        <v>905</v>
      </c>
      <c r="C106" s="2197"/>
      <c r="D106" s="2197"/>
      <c r="E106" s="1093" t="s">
        <v>29</v>
      </c>
      <c r="F106" s="1023"/>
      <c r="G106" s="1130">
        <f>SUM(G107:G110)</f>
        <v>128.5</v>
      </c>
      <c r="H106" s="1130"/>
      <c r="I106" s="1130"/>
      <c r="J106" s="1130"/>
      <c r="K106" s="1130"/>
      <c r="L106" s="1130"/>
      <c r="M106" s="1131"/>
      <c r="N106" s="1132"/>
      <c r="O106" s="1133"/>
      <c r="P106" s="1133"/>
      <c r="Q106" s="1133"/>
      <c r="R106" s="1133"/>
    </row>
    <row r="107" spans="1:37" ht="15.6">
      <c r="B107" s="2191" t="s">
        <v>136</v>
      </c>
      <c r="C107" s="2192"/>
      <c r="D107" s="2192"/>
      <c r="E107" s="1094" t="s">
        <v>29</v>
      </c>
      <c r="F107" s="1023"/>
      <c r="G107" s="964">
        <v>122</v>
      </c>
      <c r="H107" s="964"/>
      <c r="I107" s="964"/>
      <c r="J107" s="964"/>
      <c r="K107" s="964"/>
      <c r="L107" s="964"/>
      <c r="M107" s="965"/>
      <c r="N107" s="94"/>
      <c r="O107" s="69"/>
      <c r="P107" s="69"/>
      <c r="Q107" s="69"/>
      <c r="R107" s="69"/>
    </row>
    <row r="108" spans="1:37" ht="15.6">
      <c r="A108" s="261" t="s">
        <v>438</v>
      </c>
      <c r="B108" s="2191" t="s">
        <v>137</v>
      </c>
      <c r="C108" s="2192"/>
      <c r="D108" s="2192"/>
      <c r="E108" s="1094" t="s">
        <v>29</v>
      </c>
      <c r="F108" s="1023"/>
      <c r="G108" s="966">
        <v>6.5</v>
      </c>
      <c r="H108" s="966"/>
      <c r="I108" s="966"/>
      <c r="J108" s="966"/>
      <c r="K108" s="966"/>
      <c r="L108" s="966"/>
      <c r="M108" s="967"/>
      <c r="N108" s="195"/>
      <c r="O108" s="70"/>
      <c r="P108" s="70"/>
      <c r="Q108" s="70"/>
      <c r="R108" s="70"/>
    </row>
    <row r="109" spans="1:37" ht="15.6">
      <c r="A109" s="261"/>
      <c r="B109" s="2193" t="s">
        <v>817</v>
      </c>
      <c r="C109" s="2194"/>
      <c r="D109" s="2195"/>
      <c r="E109" s="1094" t="s">
        <v>29</v>
      </c>
      <c r="F109" s="1023"/>
      <c r="G109" s="966"/>
      <c r="H109" s="966"/>
      <c r="I109" s="966"/>
      <c r="J109" s="966"/>
      <c r="K109" s="966"/>
      <c r="L109" s="966"/>
      <c r="M109" s="967"/>
      <c r="N109" s="195"/>
      <c r="O109" s="70"/>
      <c r="P109" s="70"/>
      <c r="Q109" s="70"/>
      <c r="R109" s="70"/>
      <c r="S109"/>
    </row>
    <row r="110" spans="1:37" ht="15.6">
      <c r="A110" s="261" t="s">
        <v>439</v>
      </c>
      <c r="B110" s="2191" t="s">
        <v>198</v>
      </c>
      <c r="C110" s="2192"/>
      <c r="D110" s="2192"/>
      <c r="E110" s="1094" t="s">
        <v>29</v>
      </c>
      <c r="F110" s="1023"/>
      <c r="G110" s="964"/>
      <c r="H110" s="964"/>
      <c r="I110" s="964"/>
      <c r="J110" s="964"/>
      <c r="K110" s="964"/>
      <c r="L110" s="964"/>
      <c r="M110" s="965"/>
      <c r="N110" s="94"/>
      <c r="O110" s="69"/>
      <c r="P110" s="69"/>
      <c r="Q110" s="69"/>
      <c r="R110" s="69"/>
      <c r="S110"/>
      <c r="AD110" s="1"/>
      <c r="AE110" s="1"/>
      <c r="AF110" s="1"/>
      <c r="AG110" s="1"/>
      <c r="AH110" s="1"/>
      <c r="AI110" s="1"/>
      <c r="AJ110" s="1"/>
      <c r="AK110" s="1"/>
    </row>
    <row r="111" spans="1:37" ht="15" customHeight="1">
      <c r="A111" s="10"/>
      <c r="B111" s="2196" t="s">
        <v>832</v>
      </c>
      <c r="C111" s="2197"/>
      <c r="D111" s="2197"/>
      <c r="E111" s="1093" t="s">
        <v>53</v>
      </c>
      <c r="F111" s="1023"/>
      <c r="G111" s="964"/>
      <c r="H111" s="964"/>
      <c r="I111" s="964"/>
      <c r="J111" s="964"/>
      <c r="K111" s="964"/>
      <c r="L111" s="964"/>
      <c r="M111" s="965"/>
      <c r="N111" s="94"/>
      <c r="O111" s="69"/>
      <c r="P111" s="69"/>
      <c r="Q111" s="69"/>
      <c r="R111" s="69"/>
      <c r="S111"/>
      <c r="AD111" s="1"/>
      <c r="AE111" s="1"/>
      <c r="AF111" s="1"/>
      <c r="AG111" s="1"/>
      <c r="AH111" s="1"/>
      <c r="AI111" s="1"/>
      <c r="AJ111" s="1"/>
      <c r="AK111" s="1"/>
    </row>
    <row r="112" spans="1:37" ht="15" customHeight="1">
      <c r="A112" s="10"/>
      <c r="B112" s="2191" t="s">
        <v>833</v>
      </c>
      <c r="C112" s="2192"/>
      <c r="D112" s="2192"/>
      <c r="E112" s="1094" t="s">
        <v>53</v>
      </c>
      <c r="F112" s="1023"/>
      <c r="G112" s="964"/>
      <c r="H112" s="964"/>
      <c r="I112" s="964"/>
      <c r="J112" s="964"/>
      <c r="K112" s="964"/>
      <c r="L112" s="964"/>
      <c r="M112" s="965"/>
      <c r="N112" s="94"/>
      <c r="O112" s="69"/>
      <c r="P112" s="69"/>
      <c r="Q112" s="69"/>
      <c r="R112" s="69"/>
    </row>
    <row r="113" spans="1:45" ht="15.6">
      <c r="A113" s="10"/>
      <c r="B113" s="2191" t="s">
        <v>834</v>
      </c>
      <c r="C113" s="2192"/>
      <c r="D113" s="2192"/>
      <c r="E113" s="1094" t="s">
        <v>53</v>
      </c>
      <c r="F113" s="1023"/>
      <c r="G113" s="964"/>
      <c r="H113" s="964"/>
      <c r="I113" s="964"/>
      <c r="J113" s="964"/>
      <c r="K113" s="964"/>
      <c r="L113" s="964"/>
      <c r="M113" s="965"/>
      <c r="N113" s="94"/>
      <c r="O113" s="69"/>
      <c r="P113" s="69"/>
      <c r="Q113" s="69"/>
      <c r="R113" s="69"/>
    </row>
    <row r="114" spans="1:45" ht="15" customHeight="1">
      <c r="A114" s="10"/>
      <c r="B114" s="2193" t="s">
        <v>835</v>
      </c>
      <c r="C114" s="2194"/>
      <c r="D114" s="2195"/>
      <c r="E114" s="1094" t="s">
        <v>53</v>
      </c>
      <c r="F114" s="1023"/>
      <c r="G114" s="964"/>
      <c r="H114" s="964"/>
      <c r="I114" s="964"/>
      <c r="J114" s="964"/>
      <c r="K114" s="964"/>
      <c r="L114" s="964"/>
      <c r="M114" s="965"/>
      <c r="N114" s="94"/>
      <c r="O114" s="69"/>
      <c r="P114" s="69"/>
      <c r="Q114" s="69"/>
      <c r="R114" s="69"/>
    </row>
    <row r="115" spans="1:45" ht="15" customHeight="1">
      <c r="A115" s="10"/>
      <c r="B115" s="2191" t="s">
        <v>836</v>
      </c>
      <c r="C115" s="2192"/>
      <c r="D115" s="2192"/>
      <c r="E115" s="1094" t="s">
        <v>53</v>
      </c>
      <c r="F115" s="1023"/>
      <c r="G115" s="964"/>
      <c r="H115" s="964"/>
      <c r="I115" s="964"/>
      <c r="J115" s="964"/>
      <c r="K115" s="964"/>
      <c r="L115" s="964"/>
      <c r="M115" s="965"/>
      <c r="N115" s="94"/>
      <c r="O115" s="69"/>
      <c r="P115" s="69"/>
      <c r="Q115" s="69"/>
      <c r="R115" s="69"/>
    </row>
    <row r="116" spans="1:45" ht="15.6">
      <c r="A116" s="1009" t="s">
        <v>822</v>
      </c>
      <c r="B116" s="2205" t="s">
        <v>820</v>
      </c>
      <c r="C116" s="2206"/>
      <c r="D116" s="2207"/>
      <c r="E116" s="1095"/>
      <c r="F116" s="1023"/>
      <c r="G116" s="971"/>
      <c r="H116" s="971"/>
      <c r="I116" s="971"/>
      <c r="J116" s="971"/>
      <c r="K116" s="971"/>
      <c r="L116" s="971"/>
      <c r="M116" s="972"/>
      <c r="N116" s="96"/>
      <c r="O116" s="74"/>
      <c r="P116" s="74"/>
      <c r="Q116" s="74"/>
      <c r="R116" s="74"/>
    </row>
    <row r="117" spans="1:45" ht="15.6">
      <c r="A117" s="1009"/>
      <c r="B117" s="2205" t="s">
        <v>821</v>
      </c>
      <c r="C117" s="2206"/>
      <c r="D117" s="2207"/>
      <c r="E117" s="1095"/>
      <c r="F117" s="1023"/>
      <c r="G117" s="971"/>
      <c r="H117" s="971"/>
      <c r="I117" s="971"/>
      <c r="J117" s="971"/>
      <c r="K117" s="971"/>
      <c r="L117" s="971"/>
      <c r="M117" s="972"/>
      <c r="N117" s="96"/>
      <c r="O117" s="74"/>
      <c r="P117" s="74"/>
      <c r="Q117" s="74"/>
      <c r="R117" s="74"/>
    </row>
    <row r="118" spans="1:45" ht="15.6">
      <c r="A118" s="1009"/>
      <c r="B118" s="2205" t="s">
        <v>907</v>
      </c>
      <c r="C118" s="2206"/>
      <c r="D118" s="2207"/>
      <c r="E118" s="1095"/>
      <c r="F118" s="1023"/>
      <c r="G118" s="1109" t="s">
        <v>40</v>
      </c>
      <c r="H118" s="1109" t="s">
        <v>40</v>
      </c>
      <c r="I118" s="1109" t="s">
        <v>40</v>
      </c>
      <c r="J118" s="1109" t="s">
        <v>40</v>
      </c>
      <c r="K118" s="1109" t="s">
        <v>40</v>
      </c>
      <c r="L118" s="1109" t="s">
        <v>40</v>
      </c>
      <c r="M118" s="1109" t="s">
        <v>40</v>
      </c>
      <c r="N118" s="1109" t="s">
        <v>40</v>
      </c>
      <c r="O118" s="1109" t="s">
        <v>40</v>
      </c>
      <c r="P118" s="1109" t="s">
        <v>40</v>
      </c>
      <c r="Q118" s="1109" t="s">
        <v>40</v>
      </c>
      <c r="R118" s="1109" t="s">
        <v>40</v>
      </c>
    </row>
    <row r="119" spans="1:45" ht="15.6">
      <c r="A119" s="1009"/>
      <c r="B119" s="2211" t="s">
        <v>922</v>
      </c>
      <c r="C119" s="2212"/>
      <c r="D119" s="2213"/>
      <c r="E119" s="1095"/>
      <c r="F119" s="1023"/>
      <c r="G119" s="1115"/>
      <c r="H119" s="1115"/>
      <c r="I119" s="1115"/>
      <c r="J119" s="1115"/>
      <c r="K119" s="1115"/>
      <c r="L119" s="1115"/>
      <c r="M119" s="1115"/>
      <c r="N119" s="1115"/>
      <c r="O119" s="1115"/>
      <c r="P119" s="1115"/>
      <c r="Q119" s="1115"/>
      <c r="R119" s="1115"/>
    </row>
    <row r="120" spans="1:45" ht="31.5" customHeight="1">
      <c r="A120" s="540" t="s">
        <v>823</v>
      </c>
      <c r="B120" s="2205" t="s">
        <v>921</v>
      </c>
      <c r="C120" s="2206"/>
      <c r="D120" s="2207"/>
      <c r="E120" s="1096" t="s">
        <v>815</v>
      </c>
      <c r="F120" s="1024"/>
      <c r="G120" s="974"/>
      <c r="H120" s="974"/>
      <c r="I120" s="974"/>
      <c r="J120" s="974"/>
      <c r="K120" s="974"/>
      <c r="L120" s="974"/>
      <c r="M120" s="975"/>
      <c r="N120" s="197"/>
      <c r="O120" s="83"/>
      <c r="P120" s="83"/>
      <c r="Q120" s="83"/>
      <c r="R120" s="83"/>
    </row>
    <row r="121" spans="1:45" ht="31.5" customHeight="1">
      <c r="A121" s="540" t="s">
        <v>823</v>
      </c>
      <c r="B121" s="2205" t="s">
        <v>920</v>
      </c>
      <c r="C121" s="2206"/>
      <c r="D121" s="2207"/>
      <c r="E121" s="1096" t="s">
        <v>815</v>
      </c>
      <c r="F121" s="1024"/>
      <c r="G121" s="974"/>
      <c r="H121" s="974"/>
      <c r="I121" s="974"/>
      <c r="J121" s="974"/>
      <c r="K121" s="974"/>
      <c r="L121" s="974"/>
      <c r="M121" s="975"/>
      <c r="N121" s="197"/>
      <c r="O121" s="83"/>
      <c r="P121" s="83"/>
      <c r="Q121" s="83"/>
      <c r="R121" s="83"/>
    </row>
    <row r="122" spans="1:45" ht="184.5" customHeight="1">
      <c r="A122" s="1117" t="s">
        <v>923</v>
      </c>
      <c r="B122" s="2205" t="s">
        <v>830</v>
      </c>
      <c r="C122" s="2206"/>
      <c r="D122" s="2207"/>
      <c r="E122" s="1096" t="s">
        <v>827</v>
      </c>
      <c r="F122" s="1024"/>
      <c r="G122" s="1118"/>
      <c r="H122" s="1105"/>
      <c r="I122" s="1105"/>
      <c r="J122" s="1105"/>
      <c r="K122" s="1105"/>
      <c r="L122" s="1105"/>
      <c r="M122" s="1106"/>
      <c r="N122" s="1107"/>
      <c r="O122" s="1108"/>
      <c r="P122" s="1108"/>
      <c r="Q122" s="1108"/>
      <c r="R122" s="1108"/>
    </row>
    <row r="123" spans="1:45" ht="15.6">
      <c r="A123" s="10"/>
      <c r="B123" s="2326" t="s">
        <v>826</v>
      </c>
      <c r="C123" s="2327"/>
      <c r="D123" s="2328"/>
      <c r="E123" s="1025"/>
      <c r="F123" s="1025"/>
      <c r="G123" s="1116" t="s">
        <v>924</v>
      </c>
      <c r="H123" s="1025"/>
      <c r="I123" s="1025"/>
      <c r="J123" s="1025"/>
      <c r="K123" s="1025"/>
      <c r="L123" s="1025"/>
      <c r="M123" s="1025"/>
      <c r="N123" s="1019"/>
      <c r="O123" s="1019"/>
      <c r="P123" s="1019"/>
      <c r="Q123" s="1019"/>
      <c r="R123" s="1019"/>
    </row>
    <row r="124" spans="1:45">
      <c r="A124" s="10"/>
      <c r="B124" s="1020"/>
      <c r="C124" s="1020"/>
      <c r="D124" s="1020"/>
      <c r="E124" s="10"/>
      <c r="F124" s="10"/>
      <c r="G124" s="10"/>
      <c r="H124" s="10"/>
      <c r="I124" s="10"/>
      <c r="J124" s="10"/>
      <c r="K124" s="10"/>
      <c r="L124" s="10"/>
      <c r="M124" s="10"/>
    </row>
    <row r="125" spans="1:45">
      <c r="A125" s="10"/>
      <c r="B125" s="1020"/>
      <c r="C125" s="1020"/>
      <c r="D125" s="1020"/>
      <c r="E125" s="10"/>
      <c r="F125" s="10"/>
      <c r="G125" s="10"/>
      <c r="H125" s="10"/>
      <c r="I125" s="10"/>
      <c r="J125" s="10"/>
      <c r="K125" s="10"/>
      <c r="L125" s="10"/>
      <c r="M125" s="10"/>
    </row>
    <row r="126" spans="1:45">
      <c r="A126" s="4"/>
      <c r="B126" s="4"/>
      <c r="C126" s="4"/>
      <c r="D126" s="4"/>
      <c r="E126" s="4"/>
      <c r="F126" s="4"/>
      <c r="G126" s="4"/>
      <c r="H126" s="4"/>
      <c r="I126" s="4"/>
      <c r="J126" s="4"/>
      <c r="K126" s="4"/>
      <c r="L126" s="4"/>
      <c r="M126" s="15"/>
    </row>
    <row r="127" spans="1:45" s="1" customFormat="1">
      <c r="B127" s="277"/>
      <c r="C127" s="277"/>
      <c r="D127" s="277"/>
      <c r="E127" s="277"/>
      <c r="F127" s="277"/>
      <c r="G127" s="277"/>
      <c r="H127" s="277"/>
      <c r="I127" s="277"/>
      <c r="J127" s="277"/>
      <c r="K127" s="277"/>
      <c r="L127" s="277"/>
      <c r="N127" s="18"/>
      <c r="O127" s="10"/>
      <c r="P127" s="10"/>
      <c r="Q127" s="10"/>
      <c r="R127" s="10"/>
      <c r="U127" s="216"/>
      <c r="V127"/>
      <c r="W127"/>
      <c r="X127"/>
      <c r="Y127"/>
      <c r="Z127"/>
      <c r="AA127"/>
      <c r="AB127"/>
      <c r="AC127"/>
      <c r="AD127"/>
      <c r="AE127"/>
      <c r="AF127"/>
      <c r="AG127"/>
      <c r="AH127"/>
      <c r="AI127"/>
      <c r="AJ127"/>
      <c r="AK127"/>
      <c r="AL127"/>
      <c r="AM127"/>
      <c r="AN127"/>
      <c r="AO127"/>
      <c r="AP127"/>
      <c r="AQ127"/>
      <c r="AR127"/>
      <c r="AS127"/>
    </row>
    <row r="128" spans="1:45" s="1" customFormat="1" ht="15" thickBot="1">
      <c r="B128" s="277"/>
      <c r="C128" s="277"/>
      <c r="D128" s="277"/>
      <c r="E128" s="277"/>
      <c r="F128" s="277"/>
      <c r="G128" s="277"/>
      <c r="H128" s="277"/>
      <c r="I128" s="277"/>
      <c r="J128" s="277"/>
      <c r="K128" s="277"/>
      <c r="L128" s="277"/>
      <c r="N128" s="10"/>
      <c r="O128" s="10"/>
      <c r="P128" s="10"/>
      <c r="Q128" s="10"/>
      <c r="R128" s="10"/>
      <c r="U128" s="216"/>
      <c r="V128"/>
      <c r="W128"/>
      <c r="X128"/>
      <c r="Y128"/>
      <c r="Z128"/>
      <c r="AA128"/>
      <c r="AB128"/>
      <c r="AC128"/>
      <c r="AD128"/>
      <c r="AE128"/>
      <c r="AF128"/>
      <c r="AG128"/>
      <c r="AH128"/>
      <c r="AI128"/>
      <c r="AJ128"/>
      <c r="AK128"/>
      <c r="AL128"/>
      <c r="AM128"/>
      <c r="AN128"/>
      <c r="AO128"/>
      <c r="AP128"/>
      <c r="AQ128"/>
      <c r="AR128"/>
      <c r="AS128"/>
    </row>
    <row r="129" spans="2:14" ht="18.600000000000001" thickBot="1">
      <c r="B129" s="2173" t="s">
        <v>894</v>
      </c>
      <c r="C129" s="2174"/>
      <c r="D129" s="2174"/>
      <c r="E129" s="2174"/>
      <c r="F129" s="2174"/>
      <c r="G129" s="2174"/>
      <c r="H129" s="2174"/>
      <c r="I129" s="2174"/>
      <c r="J129" s="2174"/>
      <c r="K129" s="2174"/>
      <c r="L129" s="2174"/>
      <c r="M129" s="2175"/>
      <c r="N129" s="18"/>
    </row>
    <row r="130" spans="2:14" ht="17.399999999999999">
      <c r="B130" s="1100"/>
      <c r="C130" s="901"/>
      <c r="D130" s="901"/>
      <c r="E130" s="901"/>
      <c r="F130" s="901"/>
      <c r="G130" s="901" t="s">
        <v>442</v>
      </c>
      <c r="H130" s="901" t="s">
        <v>434</v>
      </c>
      <c r="I130" s="901" t="s">
        <v>433</v>
      </c>
      <c r="J130" s="75"/>
      <c r="K130" s="75"/>
      <c r="L130" s="1070"/>
      <c r="M130" s="1077"/>
    </row>
    <row r="131" spans="2:14" ht="15.75" customHeight="1" thickBot="1">
      <c r="B131" s="2188" t="s">
        <v>443</v>
      </c>
      <c r="C131" s="2189"/>
      <c r="D131" s="2189"/>
      <c r="E131" s="2189"/>
      <c r="F131" s="2189"/>
      <c r="G131" s="267"/>
      <c r="H131" s="267"/>
      <c r="I131" s="267"/>
      <c r="J131" s="1070"/>
      <c r="K131" s="1070"/>
      <c r="L131" s="1070"/>
      <c r="M131" s="1077"/>
      <c r="N131" s="18"/>
    </row>
    <row r="132" spans="2:14" ht="15" customHeight="1">
      <c r="B132" s="2210" t="s">
        <v>444</v>
      </c>
      <c r="C132" s="2206"/>
      <c r="D132" s="2206"/>
      <c r="E132" s="2206"/>
      <c r="F132" s="2207"/>
      <c r="G132" s="1099" t="s">
        <v>1002</v>
      </c>
      <c r="H132" s="1099" t="s">
        <v>1003</v>
      </c>
      <c r="I132" s="1099"/>
      <c r="J132" s="75"/>
      <c r="K132" s="1101" t="s">
        <v>446</v>
      </c>
      <c r="L132" s="1070"/>
      <c r="M132" s="1077"/>
    </row>
    <row r="133" spans="2:14" ht="15" customHeight="1">
      <c r="B133" s="2210" t="s">
        <v>930</v>
      </c>
      <c r="C133" s="2206"/>
      <c r="D133" s="2206"/>
      <c r="E133" s="2206"/>
      <c r="F133" s="2207"/>
      <c r="G133" s="1126"/>
      <c r="H133" s="1126"/>
      <c r="I133" s="1098" t="s">
        <v>40</v>
      </c>
      <c r="J133" s="75"/>
      <c r="K133" s="1101"/>
      <c r="L133" s="1070"/>
      <c r="M133" s="1077"/>
    </row>
    <row r="134" spans="2:14" ht="15.6">
      <c r="B134" s="2210" t="s">
        <v>447</v>
      </c>
      <c r="C134" s="2206"/>
      <c r="D134" s="2206"/>
      <c r="E134" s="2206"/>
      <c r="F134" s="2207"/>
      <c r="G134" s="225"/>
      <c r="H134" s="225"/>
      <c r="I134" s="225"/>
      <c r="J134" s="75"/>
      <c r="K134" s="75"/>
      <c r="L134" s="1070"/>
      <c r="M134" s="1077"/>
      <c r="N134" s="18"/>
    </row>
    <row r="135" spans="2:14" ht="15.6">
      <c r="B135" s="2210" t="s">
        <v>887</v>
      </c>
      <c r="C135" s="2206"/>
      <c r="D135" s="2206"/>
      <c r="E135" s="2206"/>
      <c r="F135" s="2207"/>
      <c r="G135" s="225"/>
      <c r="H135" s="225"/>
      <c r="I135" s="225"/>
      <c r="J135" s="75" t="s">
        <v>926</v>
      </c>
      <c r="K135" s="75"/>
      <c r="L135" s="1070"/>
      <c r="M135" s="1077"/>
    </row>
    <row r="136" spans="2:14" ht="15" customHeight="1">
      <c r="B136" s="2210" t="s">
        <v>888</v>
      </c>
      <c r="C136" s="2206"/>
      <c r="D136" s="2206"/>
      <c r="E136" s="2206"/>
      <c r="F136" s="2207"/>
      <c r="G136" s="225"/>
      <c r="H136" s="225"/>
      <c r="I136" s="1072" t="s">
        <v>889</v>
      </c>
      <c r="J136" s="1101" t="str">
        <f>IF(OR(G136&lt;3,H136&lt;3,I136&lt;3),"Le SCOP global annuel doit être de 3 minimum","")</f>
        <v>Le SCOP global annuel doit être de 3 minimum</v>
      </c>
      <c r="K136" s="75"/>
      <c r="L136" s="1070"/>
      <c r="M136" s="1077"/>
      <c r="N136" s="18"/>
    </row>
    <row r="137" spans="2:14" ht="15" customHeight="1">
      <c r="B137" s="2210" t="s">
        <v>452</v>
      </c>
      <c r="C137" s="2206"/>
      <c r="D137" s="2206"/>
      <c r="E137" s="2206"/>
      <c r="F137" s="2207"/>
      <c r="G137" s="225"/>
      <c r="H137" s="225"/>
      <c r="I137" s="225"/>
      <c r="J137" s="75"/>
      <c r="K137" s="75"/>
      <c r="L137" s="1070"/>
      <c r="M137" s="1077"/>
    </row>
    <row r="138" spans="2:14" ht="15" customHeight="1">
      <c r="B138" s="2210" t="s">
        <v>453</v>
      </c>
      <c r="C138" s="2206"/>
      <c r="D138" s="2206"/>
      <c r="E138" s="2206"/>
      <c r="F138" s="2207"/>
      <c r="G138" s="225"/>
      <c r="H138" s="225"/>
      <c r="I138" s="225"/>
      <c r="J138" s="75"/>
      <c r="K138" s="75"/>
      <c r="L138" s="1071"/>
      <c r="M138" s="1102"/>
      <c r="N138" s="18"/>
    </row>
    <row r="139" spans="2:14" ht="15.75" customHeight="1">
      <c r="B139" s="2210" t="s">
        <v>929</v>
      </c>
      <c r="C139" s="2206"/>
      <c r="D139" s="2206"/>
      <c r="E139" s="2206"/>
      <c r="F139" s="2207"/>
      <c r="G139" s="225" t="s">
        <v>927</v>
      </c>
      <c r="H139" s="225" t="s">
        <v>927</v>
      </c>
      <c r="I139" s="225" t="s">
        <v>928</v>
      </c>
      <c r="J139" s="75" t="s">
        <v>931</v>
      </c>
      <c r="K139" s="75"/>
      <c r="L139" s="1070"/>
      <c r="M139" s="1077"/>
    </row>
    <row r="140" spans="2:14" ht="15.6">
      <c r="B140" s="2210" t="s">
        <v>455</v>
      </c>
      <c r="C140" s="2206"/>
      <c r="D140" s="2206"/>
      <c r="E140" s="2206"/>
      <c r="F140" s="2207"/>
      <c r="G140" s="225"/>
      <c r="H140" s="225"/>
      <c r="I140" s="225"/>
      <c r="J140" s="75"/>
      <c r="K140" s="75"/>
      <c r="L140" s="1070"/>
      <c r="M140" s="1077"/>
      <c r="N140" s="18"/>
    </row>
    <row r="141" spans="2:14" ht="15.75" customHeight="1">
      <c r="B141" s="2210" t="s">
        <v>456</v>
      </c>
      <c r="C141" s="2206"/>
      <c r="D141" s="2206"/>
      <c r="E141" s="2206"/>
      <c r="F141" s="2207"/>
      <c r="G141" s="225"/>
      <c r="H141" s="225"/>
      <c r="I141" s="225"/>
      <c r="J141" s="75"/>
      <c r="K141" s="75"/>
      <c r="L141" s="1070"/>
      <c r="M141" s="1077"/>
    </row>
    <row r="142" spans="2:14" ht="15.75" customHeight="1">
      <c r="B142" s="2210" t="s">
        <v>932</v>
      </c>
      <c r="C142" s="2206"/>
      <c r="D142" s="2206"/>
      <c r="E142" s="2206"/>
      <c r="F142" s="2207"/>
      <c r="G142" s="225"/>
      <c r="H142" s="225"/>
      <c r="I142" s="225"/>
      <c r="J142" s="75"/>
      <c r="K142" s="75"/>
      <c r="L142" s="1070"/>
      <c r="M142" s="1077"/>
      <c r="N142" s="18"/>
    </row>
    <row r="143" spans="2:14" ht="18" thickBot="1">
      <c r="B143" s="2188" t="s">
        <v>460</v>
      </c>
      <c r="C143" s="2189"/>
      <c r="D143" s="2189"/>
      <c r="E143" s="2189"/>
      <c r="F143" s="2189"/>
      <c r="G143" s="267"/>
      <c r="H143" s="267"/>
      <c r="I143" s="267"/>
      <c r="J143" s="1070"/>
      <c r="K143" s="1070"/>
      <c r="L143" s="1070"/>
      <c r="M143" s="1077"/>
    </row>
    <row r="144" spans="2:14" ht="15.6">
      <c r="B144" s="2210" t="s">
        <v>444</v>
      </c>
      <c r="C144" s="2206"/>
      <c r="D144" s="2206"/>
      <c r="E144" s="2206"/>
      <c r="F144" s="2207"/>
      <c r="G144" s="267"/>
      <c r="H144" s="267"/>
      <c r="I144" s="267"/>
      <c r="J144" s="1070"/>
      <c r="K144" s="1070"/>
      <c r="L144" s="1070"/>
      <c r="M144" s="1077"/>
      <c r="N144" s="18"/>
    </row>
    <row r="145" spans="1:45" ht="15.6">
      <c r="B145" s="2210" t="s">
        <v>461</v>
      </c>
      <c r="C145" s="2206"/>
      <c r="D145" s="2206"/>
      <c r="E145" s="2206"/>
      <c r="F145" s="2207"/>
      <c r="G145" s="267"/>
      <c r="H145" s="267"/>
      <c r="I145" s="267"/>
      <c r="J145" s="1070"/>
      <c r="K145" s="1070"/>
      <c r="L145" s="1070"/>
      <c r="M145" s="1077"/>
    </row>
    <row r="146" spans="1:45" ht="15.6">
      <c r="B146" s="2210" t="s">
        <v>462</v>
      </c>
      <c r="C146" s="2206"/>
      <c r="D146" s="2206"/>
      <c r="E146" s="2206"/>
      <c r="F146" s="2207"/>
      <c r="G146" s="267"/>
      <c r="H146" s="267"/>
      <c r="I146" s="267"/>
      <c r="J146" s="1070"/>
      <c r="K146" s="1070"/>
      <c r="L146" s="1070"/>
      <c r="M146" s="1077"/>
      <c r="N146" s="18"/>
    </row>
    <row r="147" spans="1:45" ht="16.2" thickBot="1">
      <c r="B147" s="2218" t="s">
        <v>933</v>
      </c>
      <c r="C147" s="2219"/>
      <c r="D147" s="2219"/>
      <c r="E147" s="2219"/>
      <c r="F147" s="2220"/>
      <c r="G147" s="1104"/>
      <c r="H147" s="1104"/>
      <c r="I147" s="1104"/>
      <c r="J147" s="1103"/>
      <c r="K147" s="1103"/>
      <c r="L147" s="1103"/>
      <c r="M147" s="1082"/>
    </row>
    <row r="148" spans="1:45" s="1" customFormat="1">
      <c r="A148" s="277"/>
      <c r="B148" s="277"/>
      <c r="C148" s="277"/>
      <c r="D148" s="277"/>
      <c r="E148" s="277"/>
      <c r="F148" s="277"/>
      <c r="G148" s="277"/>
      <c r="H148" s="277"/>
      <c r="I148" s="277"/>
      <c r="J148" s="277"/>
      <c r="K148" s="277"/>
      <c r="L148" s="277"/>
      <c r="N148" s="18"/>
      <c r="O148" s="10"/>
      <c r="P148" s="10"/>
      <c r="Q148" s="10"/>
      <c r="R148" s="10"/>
      <c r="U148" s="216"/>
      <c r="V148"/>
      <c r="W148"/>
      <c r="X148"/>
      <c r="Y148"/>
      <c r="Z148"/>
      <c r="AA148"/>
      <c r="AB148"/>
      <c r="AC148"/>
      <c r="AD148"/>
      <c r="AE148"/>
      <c r="AF148"/>
      <c r="AG148"/>
      <c r="AH148"/>
      <c r="AI148"/>
      <c r="AJ148"/>
      <c r="AK148"/>
      <c r="AL148"/>
      <c r="AM148"/>
      <c r="AN148"/>
      <c r="AO148"/>
      <c r="AP148"/>
      <c r="AQ148"/>
      <c r="AR148"/>
      <c r="AS148"/>
    </row>
    <row r="149" spans="1:45" s="1" customFormat="1">
      <c r="A149" s="277"/>
      <c r="B149" s="277"/>
      <c r="C149" s="277"/>
      <c r="D149" s="277"/>
      <c r="E149" s="277"/>
      <c r="F149" s="277"/>
      <c r="G149" s="277"/>
      <c r="H149" s="277"/>
      <c r="I149" s="277"/>
      <c r="J149" s="277"/>
      <c r="K149" s="277"/>
      <c r="L149" s="277"/>
      <c r="N149" s="18"/>
      <c r="O149" s="10"/>
      <c r="P149" s="10"/>
      <c r="Q149" s="10"/>
      <c r="R149" s="10"/>
      <c r="U149" s="216"/>
      <c r="V149"/>
      <c r="W149"/>
      <c r="X149"/>
      <c r="Y149"/>
      <c r="Z149"/>
      <c r="AA149"/>
      <c r="AB149"/>
      <c r="AC149"/>
      <c r="AD149"/>
      <c r="AE149"/>
      <c r="AF149"/>
      <c r="AG149"/>
      <c r="AH149"/>
      <c r="AI149"/>
      <c r="AJ149"/>
      <c r="AK149"/>
      <c r="AL149"/>
      <c r="AM149"/>
      <c r="AN149"/>
      <c r="AO149"/>
      <c r="AP149"/>
      <c r="AQ149"/>
      <c r="AR149"/>
      <c r="AS149"/>
    </row>
    <row r="150" spans="1:45" s="1" customFormat="1" ht="15" customHeight="1" thickBot="1">
      <c r="A150" s="16"/>
      <c r="B150" s="16"/>
      <c r="C150" s="16"/>
      <c r="D150" s="16"/>
      <c r="E150" s="17"/>
      <c r="F150" s="18"/>
      <c r="G150" s="4"/>
      <c r="H150" s="4"/>
      <c r="I150" s="4"/>
      <c r="J150" s="4"/>
      <c r="K150" s="4"/>
      <c r="L150" s="4"/>
      <c r="M150" s="4"/>
      <c r="N150" s="10"/>
      <c r="O150" s="10"/>
      <c r="P150" s="10"/>
      <c r="Q150" s="10"/>
      <c r="R150" s="10"/>
      <c r="U150" s="216"/>
      <c r="V150"/>
      <c r="W150"/>
      <c r="X150"/>
      <c r="Y150"/>
      <c r="Z150"/>
      <c r="AA150"/>
      <c r="AB150"/>
      <c r="AC150"/>
      <c r="AD150"/>
      <c r="AE150"/>
      <c r="AF150"/>
      <c r="AG150"/>
      <c r="AH150"/>
      <c r="AI150"/>
      <c r="AJ150"/>
      <c r="AK150"/>
      <c r="AL150"/>
      <c r="AM150"/>
      <c r="AN150"/>
      <c r="AO150"/>
      <c r="AP150"/>
      <c r="AQ150"/>
      <c r="AR150"/>
      <c r="AS150"/>
    </row>
    <row r="151" spans="1:45" ht="20.25" customHeight="1">
      <c r="B151" s="2222" t="s">
        <v>895</v>
      </c>
      <c r="C151" s="2223"/>
      <c r="D151" s="2223"/>
      <c r="E151" s="2223"/>
      <c r="F151" s="2223"/>
      <c r="G151" s="2223"/>
      <c r="H151" s="2223"/>
      <c r="I151" s="2223"/>
      <c r="J151" s="2223"/>
      <c r="K151" s="2223"/>
      <c r="L151" s="2223"/>
      <c r="M151" s="2224"/>
    </row>
    <row r="152" spans="1:45" ht="18">
      <c r="B152" s="2225" t="s">
        <v>466</v>
      </c>
      <c r="C152" s="2225"/>
      <c r="D152" s="2225"/>
      <c r="E152" s="2225"/>
      <c r="F152" s="2225"/>
      <c r="G152" s="2225"/>
      <c r="H152" s="2226" t="s">
        <v>467</v>
      </c>
      <c r="I152" s="2226"/>
      <c r="J152" s="2226"/>
      <c r="K152" s="2226" t="s">
        <v>468</v>
      </c>
      <c r="L152" s="2226"/>
      <c r="M152" s="2226"/>
    </row>
    <row r="153" spans="1:45" ht="18">
      <c r="A153" s="63"/>
      <c r="B153" s="2217" t="s">
        <v>469</v>
      </c>
      <c r="C153" s="2217"/>
      <c r="D153" s="2217"/>
      <c r="E153" s="2217"/>
      <c r="F153" s="2217"/>
      <c r="G153" s="1216" t="str">
        <f>IF(ch_nappe=TRUE,"oui","non")</f>
        <v>non</v>
      </c>
      <c r="H153" s="2221" t="s">
        <v>442</v>
      </c>
      <c r="I153" s="2221"/>
      <c r="J153" s="1217" t="s">
        <v>41</v>
      </c>
      <c r="K153" s="2221" t="s">
        <v>470</v>
      </c>
      <c r="L153" s="2221"/>
      <c r="M153" s="1217" t="s">
        <v>41</v>
      </c>
    </row>
    <row r="154" spans="1:45">
      <c r="B154" s="2217" t="s">
        <v>471</v>
      </c>
      <c r="C154" s="2217"/>
      <c r="D154" s="2217"/>
      <c r="E154" s="2217"/>
      <c r="F154" s="2217"/>
      <c r="G154" s="1216" t="str">
        <f>IF(ch_sondes=TRUE,"oui","non")</f>
        <v>oui</v>
      </c>
      <c r="H154" s="2221" t="s">
        <v>472</v>
      </c>
      <c r="I154" s="2221"/>
      <c r="J154" s="1217" t="s">
        <v>41</v>
      </c>
      <c r="K154" s="2221" t="s">
        <v>473</v>
      </c>
      <c r="L154" s="2221"/>
      <c r="M154" s="1217" t="s">
        <v>41</v>
      </c>
    </row>
    <row r="155" spans="1:45">
      <c r="B155" s="2217" t="s">
        <v>474</v>
      </c>
      <c r="C155" s="2217"/>
      <c r="D155" s="2217"/>
      <c r="E155" s="2217"/>
      <c r="F155" s="2217"/>
      <c r="G155" s="1216" t="str">
        <f>IF(ch_surface=TRUE,"oui","non")</f>
        <v>oui</v>
      </c>
      <c r="H155" s="2221" t="s">
        <v>475</v>
      </c>
      <c r="I155" s="2221"/>
      <c r="J155" s="1217" t="s">
        <v>41</v>
      </c>
      <c r="K155" s="2221" t="s">
        <v>476</v>
      </c>
      <c r="L155" s="2221"/>
      <c r="M155" s="1217" t="s">
        <v>41</v>
      </c>
    </row>
    <row r="156" spans="1:45">
      <c r="B156" s="2217" t="s">
        <v>477</v>
      </c>
      <c r="C156" s="2217"/>
      <c r="D156" s="2217"/>
      <c r="E156" s="2217"/>
      <c r="F156" s="2217"/>
      <c r="G156" s="1216" t="str">
        <f>IF(ch_eauxusees=TRUE,"oui","non")</f>
        <v>oui</v>
      </c>
      <c r="H156" s="2221" t="s">
        <v>478</v>
      </c>
      <c r="I156" s="2221"/>
      <c r="J156" s="1217" t="s">
        <v>41</v>
      </c>
      <c r="K156" s="2233"/>
      <c r="L156" s="2233"/>
      <c r="M156" s="2233"/>
    </row>
    <row r="157" spans="1:45" ht="18">
      <c r="B157" s="2227" t="s">
        <v>479</v>
      </c>
      <c r="C157" s="2228"/>
      <c r="D157" s="2228"/>
      <c r="E157" s="2228"/>
      <c r="F157" s="2228"/>
      <c r="G157" s="2228"/>
      <c r="H157" s="2228"/>
      <c r="I157" s="2228"/>
      <c r="J157" s="2228"/>
      <c r="K157" s="2228"/>
      <c r="L157" s="2228"/>
      <c r="M157" s="2229"/>
      <c r="U157" s="10"/>
      <c r="V157" s="10"/>
      <c r="W157" s="10"/>
      <c r="X157" s="10"/>
    </row>
    <row r="158" spans="1:45" ht="16.5" customHeight="1" thickBot="1">
      <c r="B158" s="2234" t="s">
        <v>480</v>
      </c>
      <c r="C158" s="2235"/>
      <c r="D158" s="2235"/>
      <c r="E158" s="2235"/>
      <c r="F158" s="2235"/>
      <c r="G158" s="1069"/>
      <c r="H158" s="1069"/>
      <c r="I158" s="286"/>
      <c r="J158" s="286"/>
      <c r="K158" s="286"/>
      <c r="L158" s="286"/>
      <c r="M158" s="1076"/>
      <c r="U158" s="10"/>
      <c r="V158" s="10"/>
      <c r="W158" s="10"/>
      <c r="X158" s="10"/>
    </row>
    <row r="159" spans="1:45" ht="15" customHeight="1">
      <c r="B159" s="2230" t="s">
        <v>481</v>
      </c>
      <c r="C159" s="2231"/>
      <c r="D159" s="2231"/>
      <c r="E159" s="2231"/>
      <c r="F159" s="2232"/>
      <c r="G159" s="1074"/>
      <c r="H159" s="289"/>
      <c r="I159" s="286"/>
      <c r="J159" s="286"/>
      <c r="K159" s="286"/>
      <c r="L159" s="286"/>
      <c r="M159" s="1076"/>
      <c r="U159" s="10"/>
      <c r="V159" s="10"/>
      <c r="W159" s="10"/>
      <c r="X159" s="10"/>
    </row>
    <row r="160" spans="1:45" ht="15" customHeight="1">
      <c r="B160" s="2230" t="s">
        <v>482</v>
      </c>
      <c r="C160" s="2231"/>
      <c r="D160" s="2231"/>
      <c r="E160" s="2231"/>
      <c r="F160" s="2232"/>
      <c r="G160" s="1074"/>
      <c r="H160" s="289"/>
      <c r="I160" s="286"/>
      <c r="J160" s="286"/>
      <c r="K160" s="286"/>
      <c r="L160" s="286"/>
      <c r="M160" s="1076"/>
      <c r="S160" s="10"/>
      <c r="T160" s="10"/>
      <c r="U160" s="10"/>
      <c r="V160" s="10"/>
      <c r="W160" s="10"/>
      <c r="X160" s="10"/>
    </row>
    <row r="161" spans="2:24" ht="15.75" customHeight="1">
      <c r="B161" s="2230" t="s">
        <v>483</v>
      </c>
      <c r="C161" s="2231"/>
      <c r="D161" s="2231"/>
      <c r="E161" s="2231"/>
      <c r="F161" s="2232"/>
      <c r="G161" s="1074" t="s">
        <v>190</v>
      </c>
      <c r="H161" s="289"/>
      <c r="I161" s="286"/>
      <c r="J161" s="286"/>
      <c r="K161" s="286"/>
      <c r="L161" s="286"/>
      <c r="M161" s="1076"/>
      <c r="S161" s="10"/>
      <c r="T161" s="10"/>
      <c r="U161" s="10"/>
      <c r="V161" s="10"/>
      <c r="W161" s="10"/>
      <c r="X161" s="10"/>
    </row>
    <row r="162" spans="2:24" ht="15" customHeight="1">
      <c r="B162" s="2230" t="s">
        <v>484</v>
      </c>
      <c r="C162" s="2231"/>
      <c r="D162" s="2231"/>
      <c r="E162" s="2231"/>
      <c r="F162" s="2232"/>
      <c r="G162" s="1074" t="s">
        <v>485</v>
      </c>
      <c r="H162" s="289"/>
      <c r="I162" s="286"/>
      <c r="J162" s="286"/>
      <c r="K162" s="286"/>
      <c r="L162" s="286"/>
      <c r="M162" s="1076"/>
      <c r="S162" s="10"/>
      <c r="T162" s="10"/>
      <c r="U162" s="10"/>
      <c r="V162" s="10"/>
      <c r="W162" s="10"/>
      <c r="X162" s="10"/>
    </row>
    <row r="163" spans="2:24" ht="15" customHeight="1">
      <c r="B163" s="2230" t="s">
        <v>890</v>
      </c>
      <c r="C163" s="2231"/>
      <c r="D163" s="2231"/>
      <c r="E163" s="2231"/>
      <c r="F163" s="2232"/>
      <c r="G163" s="1074"/>
      <c r="H163" s="289"/>
      <c r="I163" s="286"/>
      <c r="J163" s="286"/>
      <c r="K163" s="286"/>
      <c r="L163" s="286"/>
      <c r="M163" s="1076"/>
      <c r="S163" s="10"/>
      <c r="T163" s="10"/>
      <c r="U163" s="10"/>
      <c r="V163" s="10"/>
      <c r="W163" s="10"/>
      <c r="X163" s="10"/>
    </row>
    <row r="164" spans="2:24" ht="15" customHeight="1">
      <c r="B164" s="2230" t="s">
        <v>487</v>
      </c>
      <c r="C164" s="2231"/>
      <c r="D164" s="2231"/>
      <c r="E164" s="2231"/>
      <c r="F164" s="2232"/>
      <c r="G164" s="1074" t="s">
        <v>892</v>
      </c>
      <c r="H164" s="289"/>
      <c r="I164" s="286"/>
      <c r="J164" s="286"/>
      <c r="K164" s="286"/>
      <c r="L164" s="286"/>
      <c r="M164" s="1076"/>
      <c r="S164" s="10"/>
      <c r="T164" s="10"/>
      <c r="U164" s="10"/>
      <c r="V164" s="10"/>
      <c r="W164" s="10"/>
      <c r="X164" s="10"/>
    </row>
    <row r="165" spans="2:24" ht="15" customHeight="1">
      <c r="B165" s="2230" t="s">
        <v>489</v>
      </c>
      <c r="C165" s="2231"/>
      <c r="D165" s="2231"/>
      <c r="E165" s="2231"/>
      <c r="F165" s="2232"/>
      <c r="G165" s="1074" t="s">
        <v>190</v>
      </c>
      <c r="H165" s="289"/>
      <c r="I165" s="286"/>
      <c r="J165" s="286"/>
      <c r="K165" s="286"/>
      <c r="L165" s="286"/>
      <c r="M165" s="1076"/>
      <c r="S165" s="10"/>
      <c r="T165" s="10"/>
      <c r="U165" s="10"/>
      <c r="V165" s="10"/>
      <c r="W165" s="10"/>
      <c r="X165" s="10"/>
    </row>
    <row r="166" spans="2:24" ht="15" customHeight="1">
      <c r="B166" s="2230" t="s">
        <v>490</v>
      </c>
      <c r="C166" s="2231"/>
      <c r="D166" s="2231"/>
      <c r="E166" s="2231"/>
      <c r="F166" s="2232"/>
      <c r="G166" s="1074" t="s">
        <v>485</v>
      </c>
      <c r="H166" s="289"/>
      <c r="I166" s="286"/>
      <c r="J166" s="286"/>
      <c r="K166" s="286"/>
      <c r="L166" s="286"/>
      <c r="M166" s="1076"/>
      <c r="S166" s="10"/>
      <c r="T166" s="10"/>
      <c r="U166" s="10"/>
      <c r="V166" s="10"/>
      <c r="W166" s="10"/>
      <c r="X166" s="10"/>
    </row>
    <row r="167" spans="2:24" ht="15" customHeight="1">
      <c r="B167" s="2230" t="s">
        <v>492</v>
      </c>
      <c r="C167" s="2231"/>
      <c r="D167" s="2231"/>
      <c r="E167" s="2231"/>
      <c r="F167" s="2232"/>
      <c r="G167" s="1074" t="s">
        <v>485</v>
      </c>
      <c r="H167" s="289"/>
      <c r="I167" s="286"/>
      <c r="J167" s="286"/>
      <c r="K167" s="286"/>
      <c r="L167" s="286"/>
      <c r="M167" s="1076"/>
      <c r="S167" s="10"/>
      <c r="T167" s="10"/>
      <c r="U167" s="10"/>
      <c r="V167" s="10"/>
      <c r="W167" s="10"/>
      <c r="X167" s="10"/>
    </row>
    <row r="168" spans="2:24" ht="15" customHeight="1">
      <c r="B168" s="2230" t="s">
        <v>493</v>
      </c>
      <c r="C168" s="2231"/>
      <c r="D168" s="2231"/>
      <c r="E168" s="2231"/>
      <c r="F168" s="2232"/>
      <c r="G168" s="1074"/>
      <c r="H168" s="283" t="s">
        <v>40</v>
      </c>
      <c r="I168" s="286"/>
      <c r="J168" s="286"/>
      <c r="K168" s="286"/>
      <c r="L168" s="286"/>
      <c r="M168" s="1076"/>
      <c r="S168" s="10"/>
      <c r="T168" s="10"/>
      <c r="U168" s="10"/>
      <c r="V168" s="10"/>
      <c r="W168" s="10"/>
      <c r="X168" s="10"/>
    </row>
    <row r="169" spans="2:24" ht="15" customHeight="1">
      <c r="B169" s="2230" t="s">
        <v>494</v>
      </c>
      <c r="C169" s="2231"/>
      <c r="D169" s="2231"/>
      <c r="E169" s="2231"/>
      <c r="F169" s="2232"/>
      <c r="G169" s="1074" t="s">
        <v>190</v>
      </c>
      <c r="H169" s="1087"/>
      <c r="I169" s="286"/>
      <c r="J169" s="286"/>
      <c r="K169" s="286"/>
      <c r="L169" s="286"/>
      <c r="M169" s="1076"/>
      <c r="S169" s="10"/>
      <c r="T169" s="10"/>
      <c r="U169" s="10"/>
      <c r="V169" s="10"/>
      <c r="W169" s="10"/>
      <c r="X169" s="10"/>
    </row>
    <row r="170" spans="2:24" ht="15" customHeight="1">
      <c r="B170" s="2230" t="s">
        <v>891</v>
      </c>
      <c r="C170" s="2231"/>
      <c r="D170" s="2231"/>
      <c r="E170" s="2231"/>
      <c r="F170" s="2232"/>
      <c r="G170" s="1074"/>
      <c r="H170" s="2236"/>
      <c r="I170" s="2237"/>
      <c r="J170" s="2237"/>
      <c r="K170" s="2237"/>
      <c r="L170" s="2237"/>
      <c r="M170" s="2238"/>
      <c r="S170" s="10"/>
      <c r="T170" s="10"/>
      <c r="U170" s="10"/>
      <c r="V170" s="10"/>
      <c r="W170" s="10"/>
      <c r="X170" s="10"/>
    </row>
    <row r="171" spans="2:24" ht="16.5" customHeight="1" thickBot="1">
      <c r="B171" s="2234" t="s">
        <v>496</v>
      </c>
      <c r="C171" s="2235"/>
      <c r="D171" s="2235"/>
      <c r="E171" s="2235"/>
      <c r="F171" s="2235"/>
      <c r="G171" s="1075"/>
      <c r="H171" s="1075" t="s">
        <v>934</v>
      </c>
      <c r="I171" s="1075" t="s">
        <v>935</v>
      </c>
      <c r="J171" s="286"/>
      <c r="K171" s="286"/>
      <c r="L171" s="286"/>
      <c r="M171" s="1076"/>
      <c r="S171" s="10"/>
      <c r="T171" s="10"/>
      <c r="U171" s="10"/>
      <c r="V171" s="10"/>
      <c r="W171" s="10"/>
      <c r="X171" s="10"/>
    </row>
    <row r="172" spans="2:24" ht="15" customHeight="1">
      <c r="B172" s="2230" t="s">
        <v>499</v>
      </c>
      <c r="C172" s="2231"/>
      <c r="D172" s="2231"/>
      <c r="E172" s="2231"/>
      <c r="F172" s="2232"/>
      <c r="G172" s="1074" t="s">
        <v>500</v>
      </c>
      <c r="H172" s="295"/>
      <c r="I172" s="295"/>
      <c r="J172" s="286"/>
      <c r="K172" s="286"/>
      <c r="L172" s="286"/>
      <c r="M172" s="1076"/>
      <c r="S172" s="10"/>
      <c r="T172" s="10"/>
      <c r="U172" s="10"/>
      <c r="V172" s="10"/>
      <c r="W172" s="10"/>
      <c r="X172" s="10"/>
    </row>
    <row r="173" spans="2:24" ht="15" customHeight="1">
      <c r="B173" s="2230" t="s">
        <v>502</v>
      </c>
      <c r="C173" s="2231"/>
      <c r="D173" s="2231"/>
      <c r="E173" s="2231"/>
      <c r="F173" s="2232"/>
      <c r="G173" s="1074" t="s">
        <v>500</v>
      </c>
      <c r="H173" s="295"/>
      <c r="I173" s="295"/>
      <c r="J173" s="286"/>
      <c r="K173" s="286"/>
      <c r="L173" s="286"/>
      <c r="M173" s="1076"/>
      <c r="S173" s="10"/>
      <c r="T173" s="10"/>
      <c r="U173" s="10"/>
      <c r="V173" s="10"/>
      <c r="W173" s="10"/>
      <c r="X173" s="10"/>
    </row>
    <row r="174" spans="2:24" ht="15" customHeight="1">
      <c r="B174" s="2230" t="s">
        <v>503</v>
      </c>
      <c r="C174" s="2231"/>
      <c r="D174" s="2231"/>
      <c r="E174" s="2231"/>
      <c r="F174" s="2232"/>
      <c r="G174" s="1074" t="s">
        <v>504</v>
      </c>
      <c r="H174" s="295"/>
      <c r="I174" s="295"/>
      <c r="J174" s="286"/>
      <c r="K174" s="286"/>
      <c r="L174" s="286"/>
      <c r="M174" s="1076"/>
      <c r="S174" s="10"/>
      <c r="T174" s="10"/>
      <c r="U174" s="10"/>
      <c r="V174" s="10"/>
      <c r="W174" s="10"/>
      <c r="X174" s="10"/>
    </row>
    <row r="175" spans="2:24" ht="15" customHeight="1">
      <c r="B175" s="2230" t="s">
        <v>505</v>
      </c>
      <c r="C175" s="2231"/>
      <c r="D175" s="2231"/>
      <c r="E175" s="2231"/>
      <c r="F175" s="2232"/>
      <c r="G175" s="1074" t="s">
        <v>506</v>
      </c>
      <c r="H175" s="225"/>
      <c r="I175" s="225"/>
      <c r="J175" s="75"/>
      <c r="K175" s="75"/>
      <c r="L175" s="75"/>
      <c r="M175" s="1077"/>
      <c r="S175" s="10"/>
      <c r="T175" s="10"/>
      <c r="U175" s="10"/>
      <c r="V175" s="10"/>
      <c r="W175" s="10"/>
      <c r="X175" s="10"/>
    </row>
    <row r="176" spans="2:24" ht="15" customHeight="1">
      <c r="B176" s="2227" t="s">
        <v>507</v>
      </c>
      <c r="C176" s="2228"/>
      <c r="D176" s="2228"/>
      <c r="E176" s="2228"/>
      <c r="F176" s="2228"/>
      <c r="G176" s="2228"/>
      <c r="H176" s="2228"/>
      <c r="I176" s="2228"/>
      <c r="J176" s="2228"/>
      <c r="K176" s="2228"/>
      <c r="L176" s="2228"/>
      <c r="M176" s="2229"/>
      <c r="S176" s="10"/>
      <c r="T176" s="10"/>
      <c r="U176" s="10"/>
      <c r="V176" s="10"/>
      <c r="W176" s="10"/>
      <c r="X176" s="10"/>
    </row>
    <row r="177" spans="2:24" ht="15" customHeight="1">
      <c r="B177" s="2230" t="s">
        <v>508</v>
      </c>
      <c r="C177" s="2231"/>
      <c r="D177" s="2231"/>
      <c r="E177" s="2231"/>
      <c r="F177" s="2232"/>
      <c r="G177" s="1074"/>
      <c r="H177" s="289"/>
      <c r="I177" s="286"/>
      <c r="J177" s="286"/>
      <c r="K177" s="286"/>
      <c r="L177" s="286"/>
      <c r="M177" s="1076"/>
      <c r="S177" s="10"/>
      <c r="T177" s="10"/>
      <c r="U177" s="10"/>
      <c r="V177" s="10"/>
      <c r="W177" s="10"/>
      <c r="X177" s="10"/>
    </row>
    <row r="178" spans="2:24" ht="15" customHeight="1">
      <c r="B178" s="2230" t="s">
        <v>483</v>
      </c>
      <c r="C178" s="2231"/>
      <c r="D178" s="2231"/>
      <c r="E178" s="2231"/>
      <c r="F178" s="2232"/>
      <c r="G178" s="1074" t="s">
        <v>190</v>
      </c>
      <c r="H178" s="289"/>
      <c r="I178" s="286"/>
      <c r="J178" s="286"/>
      <c r="K178" s="286"/>
      <c r="L178" s="286"/>
      <c r="M178" s="1076"/>
      <c r="S178" s="10"/>
      <c r="T178" s="10"/>
      <c r="U178" s="10"/>
      <c r="V178" s="10"/>
      <c r="W178" s="10"/>
      <c r="X178" s="10"/>
    </row>
    <row r="179" spans="2:24" ht="15" customHeight="1">
      <c r="B179" s="2230" t="s">
        <v>509</v>
      </c>
      <c r="C179" s="2231"/>
      <c r="D179" s="2231"/>
      <c r="E179" s="2231"/>
      <c r="F179" s="2232"/>
      <c r="G179" s="1074" t="s">
        <v>190</v>
      </c>
      <c r="H179" s="289"/>
      <c r="I179" s="286"/>
      <c r="J179" s="286"/>
      <c r="K179" s="286"/>
      <c r="L179" s="286"/>
      <c r="M179" s="1076"/>
      <c r="S179" s="10"/>
      <c r="T179" s="10"/>
      <c r="U179" s="10"/>
      <c r="V179" s="10"/>
      <c r="W179" s="10"/>
      <c r="X179" s="10"/>
    </row>
    <row r="180" spans="2:24" ht="15" customHeight="1">
      <c r="B180" s="2230" t="s">
        <v>510</v>
      </c>
      <c r="C180" s="2231"/>
      <c r="D180" s="2231"/>
      <c r="E180" s="2231"/>
      <c r="F180" s="2232"/>
      <c r="G180" s="1074"/>
      <c r="H180" s="289"/>
      <c r="I180" s="296"/>
      <c r="J180" s="296"/>
      <c r="K180" s="75"/>
      <c r="L180" s="75"/>
      <c r="M180" s="1077"/>
      <c r="S180" s="10"/>
      <c r="T180" s="10"/>
      <c r="U180" s="10"/>
      <c r="V180" s="10"/>
      <c r="W180" s="10"/>
      <c r="X180" s="10"/>
    </row>
    <row r="181" spans="2:24" ht="15" customHeight="1">
      <c r="B181" s="2230" t="s">
        <v>511</v>
      </c>
      <c r="C181" s="2231"/>
      <c r="D181" s="2231"/>
      <c r="E181" s="2231"/>
      <c r="F181" s="2232"/>
      <c r="G181" s="1074" t="s">
        <v>485</v>
      </c>
      <c r="H181" s="289"/>
      <c r="I181" s="12"/>
      <c r="J181" s="12"/>
      <c r="K181" s="13"/>
      <c r="L181" s="13"/>
      <c r="M181" s="1077"/>
      <c r="S181" s="10"/>
      <c r="T181" s="10"/>
      <c r="U181" s="10"/>
      <c r="V181" s="10"/>
      <c r="W181" s="10"/>
      <c r="X181" s="10"/>
    </row>
    <row r="182" spans="2:24" ht="15" customHeight="1">
      <c r="B182" s="2230" t="s">
        <v>512</v>
      </c>
      <c r="C182" s="2231"/>
      <c r="D182" s="2231"/>
      <c r="E182" s="2231"/>
      <c r="F182" s="2232"/>
      <c r="G182" s="1074" t="s">
        <v>190</v>
      </c>
      <c r="H182" s="289"/>
      <c r="I182" s="12"/>
      <c r="J182" s="12"/>
      <c r="K182" s="13"/>
      <c r="L182" s="13"/>
      <c r="M182" s="1077"/>
      <c r="S182" s="10"/>
      <c r="T182" s="10"/>
      <c r="U182" s="10"/>
      <c r="V182" s="10"/>
      <c r="W182" s="10"/>
      <c r="X182" s="10"/>
    </row>
    <row r="183" spans="2:24" ht="15" customHeight="1">
      <c r="B183" s="2230" t="s">
        <v>513</v>
      </c>
      <c r="C183" s="2231"/>
      <c r="D183" s="2231"/>
      <c r="E183" s="2231"/>
      <c r="F183" s="2232"/>
      <c r="G183" s="1074" t="s">
        <v>514</v>
      </c>
      <c r="H183" s="289"/>
      <c r="I183" s="12"/>
      <c r="J183" s="12"/>
      <c r="K183" s="13"/>
      <c r="L183" s="13"/>
      <c r="M183" s="1077"/>
      <c r="N183" s="10" t="s">
        <v>515</v>
      </c>
      <c r="S183" s="10"/>
      <c r="T183" s="10"/>
      <c r="U183" s="10"/>
      <c r="V183" s="10"/>
      <c r="W183" s="10"/>
      <c r="X183" s="10"/>
    </row>
    <row r="184" spans="2:24" ht="15" customHeight="1">
      <c r="B184" s="2230" t="s">
        <v>516</v>
      </c>
      <c r="C184" s="2231"/>
      <c r="D184" s="2231"/>
      <c r="E184" s="2231"/>
      <c r="F184" s="2232"/>
      <c r="G184" s="1074" t="s">
        <v>517</v>
      </c>
      <c r="H184" s="289"/>
      <c r="I184" s="14"/>
      <c r="J184" s="14"/>
      <c r="K184" s="13"/>
      <c r="L184" s="13"/>
      <c r="M184" s="1077"/>
      <c r="S184" s="10"/>
      <c r="T184" s="10"/>
    </row>
    <row r="185" spans="2:24" ht="15" customHeight="1">
      <c r="B185" s="2230" t="s">
        <v>518</v>
      </c>
      <c r="C185" s="2231"/>
      <c r="D185" s="2231"/>
      <c r="E185" s="2231"/>
      <c r="F185" s="2232"/>
      <c r="G185" s="1074" t="s">
        <v>504</v>
      </c>
      <c r="H185" s="289"/>
      <c r="I185" s="12"/>
      <c r="J185" s="12"/>
      <c r="K185" s="13"/>
      <c r="L185" s="13"/>
      <c r="M185" s="1077"/>
      <c r="S185" s="10"/>
      <c r="T185" s="10"/>
    </row>
    <row r="186" spans="2:24" ht="15" customHeight="1">
      <c r="B186" s="2227" t="s">
        <v>519</v>
      </c>
      <c r="C186" s="2228"/>
      <c r="D186" s="2228"/>
      <c r="E186" s="2228"/>
      <c r="F186" s="2228"/>
      <c r="G186" s="2228"/>
      <c r="H186" s="2228"/>
      <c r="I186" s="2228"/>
      <c r="J186" s="2228"/>
      <c r="K186" s="2228"/>
      <c r="L186" s="2228"/>
      <c r="M186" s="2229"/>
      <c r="S186" s="10"/>
      <c r="T186" s="10"/>
    </row>
    <row r="187" spans="2:24" ht="17.25" customHeight="1" thickBot="1">
      <c r="B187" s="2234" t="s">
        <v>520</v>
      </c>
      <c r="C187" s="2235"/>
      <c r="D187" s="2235"/>
      <c r="E187" s="2235"/>
      <c r="F187" s="2235"/>
      <c r="G187" s="2188"/>
      <c r="H187" s="2189"/>
      <c r="I187" s="283" t="s">
        <v>40</v>
      </c>
      <c r="J187" s="1097" t="s">
        <v>906</v>
      </c>
      <c r="K187" s="286"/>
      <c r="L187" s="286"/>
      <c r="M187" s="1076"/>
    </row>
    <row r="188" spans="2:24" ht="15" customHeight="1">
      <c r="B188" s="2230" t="s">
        <v>521</v>
      </c>
      <c r="C188" s="2231"/>
      <c r="D188" s="2231"/>
      <c r="E188" s="2231"/>
      <c r="F188" s="2232"/>
      <c r="G188" s="1074" t="s">
        <v>485</v>
      </c>
      <c r="H188" s="289"/>
      <c r="I188" s="286"/>
      <c r="J188" s="286"/>
      <c r="K188" s="286"/>
      <c r="L188" s="286"/>
      <c r="M188" s="1076"/>
    </row>
    <row r="189" spans="2:24" ht="15" customHeight="1">
      <c r="B189" s="2230" t="s">
        <v>522</v>
      </c>
      <c r="C189" s="2231"/>
      <c r="D189" s="2231"/>
      <c r="E189" s="2231"/>
      <c r="F189" s="2232"/>
      <c r="G189" s="1074"/>
      <c r="H189" s="289"/>
      <c r="I189" s="286"/>
      <c r="J189" s="286"/>
      <c r="K189" s="286"/>
      <c r="L189" s="286"/>
      <c r="M189" s="1076"/>
      <c r="N189" s="10" t="s">
        <v>523</v>
      </c>
    </row>
    <row r="190" spans="2:24" ht="15" customHeight="1">
      <c r="B190" s="2230" t="s">
        <v>524</v>
      </c>
      <c r="C190" s="2231"/>
      <c r="D190" s="2231"/>
      <c r="E190" s="2231"/>
      <c r="F190" s="2232"/>
      <c r="G190" s="1074" t="s">
        <v>525</v>
      </c>
      <c r="H190" s="289"/>
      <c r="I190" s="286"/>
      <c r="J190" s="286"/>
      <c r="K190" s="286"/>
      <c r="L190" s="286"/>
      <c r="M190" s="1076"/>
      <c r="U190"/>
    </row>
    <row r="191" spans="2:24" ht="15" customHeight="1">
      <c r="B191" s="2230" t="s">
        <v>527</v>
      </c>
      <c r="C191" s="2231"/>
      <c r="D191" s="2231"/>
      <c r="E191" s="2231"/>
      <c r="F191" s="2232"/>
      <c r="G191" s="1074"/>
      <c r="H191" s="289"/>
      <c r="I191" s="286"/>
      <c r="J191" s="286"/>
      <c r="K191" s="286"/>
      <c r="L191" s="286"/>
      <c r="M191" s="1076"/>
      <c r="U191"/>
    </row>
    <row r="192" spans="2:24" ht="15" customHeight="1">
      <c r="B192" s="2230" t="s">
        <v>528</v>
      </c>
      <c r="C192" s="2231"/>
      <c r="D192" s="2231"/>
      <c r="E192" s="2231"/>
      <c r="F192" s="2232"/>
      <c r="G192" s="1074"/>
      <c r="H192" s="289"/>
      <c r="I192" s="286"/>
      <c r="J192" s="286"/>
      <c r="K192" s="286"/>
      <c r="L192" s="286"/>
      <c r="M192" s="1076"/>
      <c r="N192" s="10" t="s">
        <v>529</v>
      </c>
      <c r="U192"/>
    </row>
    <row r="193" spans="2:37" ht="15" customHeight="1">
      <c r="B193" s="2230" t="s">
        <v>530</v>
      </c>
      <c r="C193" s="2231"/>
      <c r="D193" s="2231"/>
      <c r="E193" s="2231"/>
      <c r="F193" s="2232"/>
      <c r="G193" s="1074" t="s">
        <v>108</v>
      </c>
      <c r="H193" s="289"/>
      <c r="I193" s="286"/>
      <c r="J193" s="286"/>
      <c r="K193" s="286"/>
      <c r="L193" s="286"/>
      <c r="M193" s="1076"/>
      <c r="U193"/>
    </row>
    <row r="194" spans="2:37" ht="24.75" customHeight="1">
      <c r="B194" s="2230" t="s">
        <v>531</v>
      </c>
      <c r="C194" s="2231"/>
      <c r="D194" s="2231"/>
      <c r="E194" s="2231"/>
      <c r="F194" s="2232"/>
      <c r="G194" s="1074" t="s">
        <v>53</v>
      </c>
      <c r="H194" s="289"/>
      <c r="I194" s="286"/>
      <c r="J194" s="286"/>
      <c r="K194" s="286"/>
      <c r="L194" s="286"/>
      <c r="M194" s="1076"/>
      <c r="N194" s="10" t="s">
        <v>529</v>
      </c>
      <c r="U194"/>
    </row>
    <row r="195" spans="2:37" ht="15" customHeight="1" thickBot="1">
      <c r="B195" s="2234" t="s">
        <v>532</v>
      </c>
      <c r="C195" s="2235"/>
      <c r="D195" s="2235"/>
      <c r="E195" s="2235"/>
      <c r="F195" s="2235"/>
      <c r="G195" s="2188"/>
      <c r="H195" s="2189"/>
      <c r="I195" s="283" t="s">
        <v>40</v>
      </c>
      <c r="J195" s="1097" t="s">
        <v>906</v>
      </c>
      <c r="K195" s="286"/>
      <c r="L195" s="286"/>
      <c r="M195" s="1076"/>
      <c r="N195" s="10" t="s">
        <v>529</v>
      </c>
      <c r="U195"/>
    </row>
    <row r="196" spans="2:37" ht="15" customHeight="1">
      <c r="B196" s="2230" t="s">
        <v>528</v>
      </c>
      <c r="C196" s="2231"/>
      <c r="D196" s="2231"/>
      <c r="E196" s="2231"/>
      <c r="F196" s="2232"/>
      <c r="G196" s="1074"/>
      <c r="H196" s="289"/>
      <c r="I196" s="286"/>
      <c r="J196" s="286"/>
      <c r="K196" s="286"/>
      <c r="L196" s="286"/>
      <c r="M196" s="1076"/>
    </row>
    <row r="197" spans="2:37" ht="15" customHeight="1">
      <c r="B197" s="2230" t="s">
        <v>530</v>
      </c>
      <c r="C197" s="2231"/>
      <c r="D197" s="2231"/>
      <c r="E197" s="2231"/>
      <c r="F197" s="2232"/>
      <c r="G197" s="1074" t="s">
        <v>108</v>
      </c>
      <c r="H197" s="289"/>
      <c r="I197" s="286"/>
      <c r="J197" s="286"/>
      <c r="K197" s="286"/>
      <c r="L197" s="286"/>
      <c r="M197" s="1076"/>
    </row>
    <row r="198" spans="2:37" ht="15" customHeight="1">
      <c r="B198" s="2230" t="s">
        <v>531</v>
      </c>
      <c r="C198" s="2231"/>
      <c r="D198" s="2231"/>
      <c r="E198" s="2231"/>
      <c r="F198" s="2232"/>
      <c r="G198" s="1074" t="s">
        <v>53</v>
      </c>
      <c r="H198" s="289"/>
      <c r="I198" s="286"/>
      <c r="J198" s="286"/>
      <c r="K198" s="286"/>
      <c r="L198" s="286"/>
      <c r="M198" s="1076"/>
    </row>
    <row r="199" spans="2:37" ht="15" customHeight="1" thickBot="1">
      <c r="B199" s="2234" t="s">
        <v>533</v>
      </c>
      <c r="C199" s="2235"/>
      <c r="D199" s="2235"/>
      <c r="E199" s="2235"/>
      <c r="F199" s="2235"/>
      <c r="G199" s="2188"/>
      <c r="H199" s="2189"/>
      <c r="I199" s="286"/>
      <c r="J199" s="286"/>
      <c r="K199" s="286"/>
      <c r="L199" s="286"/>
      <c r="M199" s="1076"/>
    </row>
    <row r="200" spans="2:37" ht="15" customHeight="1">
      <c r="B200" s="2230" t="s">
        <v>534</v>
      </c>
      <c r="C200" s="2231"/>
      <c r="D200" s="2231"/>
      <c r="E200" s="2231"/>
      <c r="F200" s="2232"/>
      <c r="G200" s="1074" t="s">
        <v>535</v>
      </c>
      <c r="H200" s="289"/>
      <c r="I200" s="286"/>
      <c r="J200" s="286"/>
      <c r="K200" s="286"/>
      <c r="L200" s="286"/>
      <c r="M200" s="1076"/>
    </row>
    <row r="201" spans="2:37" ht="15" customHeight="1">
      <c r="B201" s="2230" t="s">
        <v>536</v>
      </c>
      <c r="C201" s="2231"/>
      <c r="D201" s="2231"/>
      <c r="E201" s="2231"/>
      <c r="F201" s="2232"/>
      <c r="G201" s="1074" t="s">
        <v>506</v>
      </c>
      <c r="H201" s="289"/>
      <c r="I201" s="286"/>
      <c r="J201" s="286"/>
      <c r="K201" s="286"/>
      <c r="L201" s="286"/>
      <c r="M201" s="1076"/>
      <c r="U201"/>
    </row>
    <row r="202" spans="2:37" ht="15" customHeight="1">
      <c r="B202" s="2230" t="s">
        <v>537</v>
      </c>
      <c r="C202" s="2231"/>
      <c r="D202" s="2231"/>
      <c r="E202" s="2231"/>
      <c r="F202" s="2232"/>
      <c r="G202" s="1074" t="s">
        <v>506</v>
      </c>
      <c r="H202" s="289"/>
      <c r="I202" s="286"/>
      <c r="J202" s="286"/>
      <c r="K202" s="286"/>
      <c r="L202" s="286"/>
      <c r="M202" s="1076"/>
      <c r="U202"/>
      <c r="AJ202" s="10"/>
      <c r="AK202" s="10"/>
    </row>
    <row r="203" spans="2:37" ht="15" customHeight="1">
      <c r="B203" s="2230" t="s">
        <v>538</v>
      </c>
      <c r="C203" s="2231"/>
      <c r="D203" s="2231"/>
      <c r="E203" s="2231"/>
      <c r="F203" s="2232"/>
      <c r="G203" s="1074" t="s">
        <v>190</v>
      </c>
      <c r="H203" s="289"/>
      <c r="I203" s="12"/>
      <c r="J203" s="12"/>
      <c r="K203" s="13"/>
      <c r="L203" s="13"/>
      <c r="M203" s="1077"/>
      <c r="U203"/>
      <c r="AJ203" s="10"/>
      <c r="AK203" s="10"/>
    </row>
    <row r="204" spans="2:37" ht="15" customHeight="1">
      <c r="B204" s="2230" t="s">
        <v>518</v>
      </c>
      <c r="C204" s="2231"/>
      <c r="D204" s="2231"/>
      <c r="E204" s="2231"/>
      <c r="F204" s="2255"/>
      <c r="G204" s="1086" t="s">
        <v>504</v>
      </c>
      <c r="H204" s="1087"/>
      <c r="I204" s="12"/>
      <c r="J204" s="12"/>
      <c r="K204" s="13"/>
      <c r="L204" s="13"/>
      <c r="M204" s="1077"/>
      <c r="U204"/>
      <c r="AJ204" s="10"/>
      <c r="AK204" s="10"/>
    </row>
    <row r="205" spans="2:37" ht="15" customHeight="1" thickBot="1">
      <c r="B205" s="2252" t="s">
        <v>540</v>
      </c>
      <c r="C205" s="2253"/>
      <c r="D205" s="2253"/>
      <c r="E205" s="2253"/>
      <c r="F205" s="2254"/>
      <c r="G205" s="1078" t="s">
        <v>190</v>
      </c>
      <c r="H205" s="1079"/>
      <c r="I205" s="1080"/>
      <c r="J205" s="1080"/>
      <c r="K205" s="1081"/>
      <c r="L205" s="1081"/>
      <c r="M205" s="1082"/>
      <c r="U205"/>
      <c r="AJ205" s="10"/>
      <c r="AK205" s="10"/>
    </row>
    <row r="206" spans="2:37" ht="15" customHeight="1">
      <c r="B206" s="1"/>
      <c r="C206" s="1"/>
      <c r="D206" s="1"/>
      <c r="E206" s="1"/>
      <c r="F206" s="1"/>
      <c r="G206" s="1"/>
      <c r="H206" s="1"/>
      <c r="I206" s="1"/>
      <c r="J206" s="1"/>
      <c r="K206" s="1"/>
      <c r="L206" s="1"/>
      <c r="M206" s="1"/>
      <c r="N206" s="1"/>
      <c r="U206"/>
      <c r="AJ206" s="10"/>
      <c r="AK206" s="10"/>
    </row>
    <row r="207" spans="2:37" ht="15" customHeight="1">
      <c r="B207" s="1"/>
      <c r="C207" s="1"/>
      <c r="D207" s="1"/>
      <c r="E207" s="1"/>
      <c r="F207" s="1"/>
      <c r="G207" s="1"/>
      <c r="H207" s="1"/>
      <c r="I207" s="1"/>
      <c r="J207" s="1"/>
      <c r="K207" s="1"/>
      <c r="L207" s="1"/>
      <c r="M207" s="1"/>
      <c r="N207" s="1"/>
      <c r="U207"/>
      <c r="AJ207" s="10"/>
      <c r="AK207" s="10"/>
    </row>
    <row r="208" spans="2:37" ht="15" customHeight="1">
      <c r="B208" s="1"/>
      <c r="C208" s="1"/>
      <c r="D208" s="1"/>
      <c r="E208" s="1"/>
      <c r="F208" s="1"/>
      <c r="G208" s="1"/>
      <c r="H208" s="1"/>
      <c r="I208" s="1"/>
      <c r="J208" s="1"/>
      <c r="K208" s="1"/>
      <c r="L208" s="1"/>
      <c r="M208" s="1"/>
      <c r="N208" s="1"/>
      <c r="O208" s="1"/>
      <c r="P208" s="1"/>
      <c r="Q208" s="1"/>
      <c r="R208" s="1"/>
      <c r="U208"/>
      <c r="AJ208" s="10"/>
      <c r="AK208" s="10"/>
    </row>
    <row r="209" spans="1:37" ht="15" customHeight="1" thickBot="1">
      <c r="B209" s="1"/>
      <c r="C209" s="1"/>
      <c r="D209" s="1"/>
      <c r="E209" s="1"/>
      <c r="F209" s="1"/>
      <c r="G209" s="1"/>
      <c r="H209" s="1"/>
      <c r="I209" s="1"/>
      <c r="J209" s="1"/>
      <c r="K209" s="1"/>
      <c r="L209" s="1"/>
      <c r="M209" s="1"/>
      <c r="N209" s="1"/>
      <c r="O209" s="1"/>
      <c r="P209" s="1"/>
      <c r="Q209" s="1"/>
      <c r="R209" s="1"/>
      <c r="U209"/>
      <c r="AJ209" s="10"/>
      <c r="AK209" s="10"/>
    </row>
    <row r="210" spans="1:37" ht="21" customHeight="1" thickBot="1">
      <c r="B210" s="2243" t="s">
        <v>896</v>
      </c>
      <c r="C210" s="2244"/>
      <c r="D210" s="2244"/>
      <c r="E210" s="2244"/>
      <c r="F210" s="2244"/>
      <c r="G210" s="2244"/>
      <c r="H210" s="2244"/>
      <c r="I210" s="2244"/>
      <c r="J210" s="2244"/>
      <c r="K210" s="2244"/>
      <c r="L210" s="2244"/>
      <c r="M210" s="2245"/>
      <c r="N210" s="1218"/>
      <c r="U210"/>
      <c r="AJ210" s="10"/>
      <c r="AK210" s="10"/>
    </row>
    <row r="211" spans="1:37" ht="21" customHeight="1" thickBot="1">
      <c r="B211" s="2139" t="s">
        <v>1001</v>
      </c>
      <c r="C211" s="2140"/>
      <c r="D211" s="2140"/>
      <c r="E211" s="2140"/>
      <c r="F211" s="2140"/>
      <c r="G211" s="2140"/>
      <c r="H211" s="2140"/>
      <c r="I211" s="2140"/>
      <c r="J211" s="2140"/>
      <c r="K211" s="2140"/>
      <c r="L211" s="2140"/>
      <c r="M211" s="2141"/>
      <c r="N211" s="1219"/>
      <c r="U211"/>
      <c r="AJ211" s="10"/>
      <c r="AK211" s="10"/>
    </row>
    <row r="212" spans="1:37" ht="32.25" customHeight="1" thickBot="1">
      <c r="B212" s="2246" t="s">
        <v>542</v>
      </c>
      <c r="C212" s="2247"/>
      <c r="D212" s="2148" t="s">
        <v>543</v>
      </c>
      <c r="E212" s="2146"/>
      <c r="F212" s="2148" t="s">
        <v>544</v>
      </c>
      <c r="G212" s="2147"/>
      <c r="H212" s="2148" t="s">
        <v>545</v>
      </c>
      <c r="I212" s="2146"/>
      <c r="J212" s="2147"/>
      <c r="K212" s="2146" t="s">
        <v>558</v>
      </c>
      <c r="L212" s="2146"/>
      <c r="M212" s="2147"/>
      <c r="N212" s="2241" t="s">
        <v>948</v>
      </c>
      <c r="T212"/>
      <c r="U212"/>
      <c r="AJ212" s="10"/>
      <c r="AK212" s="10"/>
    </row>
    <row r="213" spans="1:37" ht="49.5" customHeight="1">
      <c r="B213" s="1201" t="s">
        <v>936</v>
      </c>
      <c r="C213" s="1200" t="s">
        <v>41</v>
      </c>
      <c r="D213" s="1201" t="s">
        <v>940</v>
      </c>
      <c r="E213" s="1224" t="s">
        <v>41</v>
      </c>
      <c r="F213" s="1202" t="s">
        <v>949</v>
      </c>
      <c r="G213" s="1221"/>
      <c r="H213" s="2248" t="s">
        <v>949</v>
      </c>
      <c r="I213" s="2249"/>
      <c r="J213" s="1221" t="s">
        <v>41</v>
      </c>
      <c r="K213" s="2142" t="s">
        <v>560</v>
      </c>
      <c r="L213" s="2143"/>
      <c r="M213" s="1214" t="s">
        <v>41</v>
      </c>
      <c r="N213" s="2242"/>
      <c r="T213"/>
      <c r="U213"/>
      <c r="AJ213" s="10"/>
      <c r="AK213" s="10"/>
    </row>
    <row r="214" spans="1:37" ht="51" customHeight="1" thickBot="1">
      <c r="A214" s="10"/>
      <c r="B214" s="1203" t="s">
        <v>939</v>
      </c>
      <c r="C214" s="1199" t="s">
        <v>41</v>
      </c>
      <c r="D214" s="1136" t="s">
        <v>941</v>
      </c>
      <c r="E214" s="1225" t="s">
        <v>41</v>
      </c>
      <c r="F214" s="1128"/>
      <c r="G214" s="1222"/>
      <c r="H214" s="2250"/>
      <c r="I214" s="2251"/>
      <c r="J214" s="1222" t="s">
        <v>41</v>
      </c>
      <c r="K214" s="2144" t="s">
        <v>561</v>
      </c>
      <c r="L214" s="2145"/>
      <c r="M214" s="1215" t="s">
        <v>41</v>
      </c>
      <c r="N214" s="2242"/>
      <c r="T214"/>
    </row>
    <row r="215" spans="1:37" ht="47.25" customHeight="1" thickBot="1">
      <c r="B215" s="1136" t="s">
        <v>937</v>
      </c>
      <c r="C215" s="1198" t="s">
        <v>41</v>
      </c>
      <c r="D215" s="1136" t="s">
        <v>942</v>
      </c>
      <c r="E215" s="1225" t="s">
        <v>41</v>
      </c>
      <c r="F215" s="1128"/>
      <c r="G215" s="1222"/>
      <c r="H215" s="2239"/>
      <c r="I215" s="2240"/>
      <c r="J215" s="1223" t="s">
        <v>41</v>
      </c>
      <c r="K215" s="1"/>
      <c r="L215" s="10"/>
      <c r="M215" s="1204"/>
      <c r="N215" s="2242"/>
      <c r="T215"/>
      <c r="U215"/>
      <c r="AJ215" s="10"/>
      <c r="AK215" s="10"/>
    </row>
    <row r="216" spans="1:37" ht="45.75" customHeight="1">
      <c r="B216" s="1136" t="s">
        <v>938</v>
      </c>
      <c r="C216" s="1198" t="s">
        <v>41</v>
      </c>
      <c r="D216" s="1136" t="s">
        <v>943</v>
      </c>
      <c r="E216" s="1225" t="s">
        <v>41</v>
      </c>
      <c r="F216" s="1128"/>
      <c r="G216" s="1222"/>
      <c r="H216" s="1231"/>
      <c r="I216" s="1210"/>
      <c r="J216" s="1232"/>
      <c r="K216" s="10"/>
      <c r="L216" s="10"/>
      <c r="M216" s="1204"/>
      <c r="N216" s="1219" t="s">
        <v>555</v>
      </c>
      <c r="T216"/>
      <c r="U216"/>
      <c r="AJ216" s="10"/>
      <c r="AK216" s="10"/>
    </row>
    <row r="217" spans="1:37" ht="42.75" customHeight="1">
      <c r="A217"/>
      <c r="B217" s="1207"/>
      <c r="C217" s="1139"/>
      <c r="D217" s="1136" t="s">
        <v>944</v>
      </c>
      <c r="E217" s="1225" t="s">
        <v>41</v>
      </c>
      <c r="F217" s="1227"/>
      <c r="G217" s="1228"/>
      <c r="H217" s="1231"/>
      <c r="I217" s="1210"/>
      <c r="J217" s="1232"/>
      <c r="K217" s="7"/>
      <c r="L217" s="1"/>
      <c r="M217" s="1204"/>
      <c r="N217" s="1219"/>
      <c r="T217" s="216"/>
      <c r="U217"/>
      <c r="AJ217" s="10"/>
      <c r="AK217" s="10"/>
    </row>
    <row r="218" spans="1:37" ht="55.5" customHeight="1" thickBot="1">
      <c r="B218" s="1208"/>
      <c r="C218" s="1209"/>
      <c r="D218" s="1205" t="s">
        <v>947</v>
      </c>
      <c r="E218" s="1226" t="s">
        <v>41</v>
      </c>
      <c r="F218" s="1229"/>
      <c r="G218" s="1230"/>
      <c r="H218" s="1233"/>
      <c r="I218" s="1212"/>
      <c r="J218" s="1234"/>
      <c r="K218" s="1213"/>
      <c r="L218" s="1211"/>
      <c r="M218" s="1206"/>
      <c r="N218" s="1220"/>
      <c r="T218"/>
      <c r="U218"/>
      <c r="AJ218" s="10"/>
      <c r="AK218" s="10"/>
    </row>
    <row r="219" spans="1:37" ht="15" customHeight="1">
      <c r="A219" s="305"/>
      <c r="B219" s="1"/>
      <c r="C219" s="1"/>
      <c r="D219" s="1"/>
      <c r="E219" s="1"/>
      <c r="F219" s="1"/>
      <c r="G219" s="1"/>
      <c r="H219" s="1"/>
      <c r="I219" s="1"/>
      <c r="J219" s="1"/>
      <c r="K219" s="1"/>
      <c r="L219" s="1"/>
      <c r="M219" s="1"/>
      <c r="T219"/>
      <c r="U219"/>
      <c r="AJ219" s="10"/>
      <c r="AK219" s="10"/>
    </row>
    <row r="220" spans="1:37" ht="15" customHeight="1">
      <c r="B220" s="1"/>
      <c r="C220" s="1"/>
      <c r="D220" s="1"/>
      <c r="E220" s="1"/>
      <c r="F220" s="1"/>
      <c r="G220" s="1"/>
      <c r="H220" s="1"/>
      <c r="I220" s="1"/>
      <c r="J220" s="1"/>
      <c r="K220" s="1"/>
      <c r="L220" s="1"/>
      <c r="M220" s="1"/>
      <c r="T220"/>
      <c r="U220"/>
      <c r="AJ220" s="10"/>
      <c r="AK220" s="10"/>
    </row>
    <row r="221" spans="1:37" ht="15" customHeight="1">
      <c r="B221" s="1"/>
      <c r="C221" s="1"/>
      <c r="D221" s="1"/>
      <c r="E221" s="1"/>
      <c r="F221" s="1"/>
      <c r="G221" s="1"/>
      <c r="H221" s="1"/>
      <c r="I221" s="1"/>
      <c r="J221" s="1"/>
      <c r="K221" s="1"/>
      <c r="L221" s="1"/>
      <c r="M221" s="1"/>
      <c r="T221"/>
      <c r="U221"/>
      <c r="AJ221" s="10"/>
      <c r="AK221" s="10"/>
    </row>
    <row r="222" spans="1:37" ht="15" customHeight="1">
      <c r="B222" s="1"/>
      <c r="C222" s="1"/>
      <c r="D222" s="1"/>
      <c r="E222" s="1"/>
      <c r="F222" s="1"/>
      <c r="G222" s="1"/>
      <c r="H222" s="1"/>
      <c r="I222" s="1"/>
      <c r="J222" s="1"/>
      <c r="K222" s="1"/>
      <c r="L222" s="1"/>
      <c r="M222" s="1"/>
      <c r="T222"/>
      <c r="U222"/>
      <c r="AJ222" s="10"/>
      <c r="AK222" s="10"/>
    </row>
    <row r="223" spans="1:37" ht="15" customHeight="1">
      <c r="B223" s="1"/>
      <c r="C223" s="1"/>
      <c r="D223" s="1"/>
      <c r="E223" s="1"/>
      <c r="F223" s="1"/>
      <c r="G223" s="1"/>
      <c r="H223" s="1"/>
      <c r="I223" s="1"/>
      <c r="J223" s="1"/>
      <c r="K223" s="1"/>
      <c r="L223" s="1"/>
      <c r="M223" s="1"/>
      <c r="T223"/>
      <c r="U223"/>
      <c r="AJ223" s="10"/>
      <c r="AK223" s="10"/>
    </row>
    <row r="224" spans="1:37" ht="15" customHeight="1">
      <c r="B224" s="1"/>
      <c r="C224" s="1"/>
      <c r="D224" s="1"/>
      <c r="E224" s="1"/>
      <c r="F224" s="1"/>
      <c r="G224" s="1"/>
      <c r="H224" s="1"/>
      <c r="I224" s="1"/>
      <c r="J224" s="1"/>
      <c r="K224" s="1"/>
      <c r="L224" s="1"/>
      <c r="M224" s="1"/>
      <c r="T224"/>
      <c r="U224"/>
      <c r="AJ224" s="10"/>
      <c r="AK224" s="10"/>
    </row>
    <row r="225" spans="1:37" s="1" customFormat="1">
      <c r="O225" s="10"/>
      <c r="P225" s="10"/>
      <c r="S225"/>
      <c r="T225"/>
      <c r="U225" s="1067"/>
      <c r="V225" s="1068"/>
      <c r="W225" s="1068"/>
      <c r="X225" s="1068"/>
      <c r="Y225" s="1068"/>
      <c r="Z225" s="1068"/>
      <c r="AA225" s="1068"/>
      <c r="AB225" s="1068"/>
      <c r="AC225" s="1068"/>
      <c r="AD225" s="1068"/>
      <c r="AE225" s="1068"/>
      <c r="AF225" s="1068"/>
      <c r="AG225" s="1068"/>
      <c r="AH225" s="1068"/>
      <c r="AI225" s="1068"/>
      <c r="AJ225" s="1068"/>
      <c r="AK225" s="1068"/>
    </row>
    <row r="226" spans="1:37" s="1" customFormat="1">
      <c r="O226" s="10"/>
      <c r="P226" s="10"/>
      <c r="S226"/>
      <c r="T226"/>
      <c r="U226" s="1067"/>
      <c r="V226" s="1068"/>
      <c r="W226" s="1068"/>
      <c r="X226" s="1068"/>
      <c r="Y226" s="1068"/>
      <c r="Z226" s="1068"/>
      <c r="AA226" s="1068"/>
      <c r="AB226" s="1068"/>
      <c r="AC226" s="1068"/>
      <c r="AD226" s="1068"/>
      <c r="AE226" s="1068"/>
      <c r="AF226" s="1068"/>
      <c r="AG226" s="1068"/>
      <c r="AH226" s="1068"/>
      <c r="AI226" s="1068"/>
      <c r="AJ226" s="1068"/>
      <c r="AK226" s="1068"/>
    </row>
    <row r="227" spans="1:37" s="1" customFormat="1">
      <c r="O227" s="10"/>
      <c r="P227" s="10"/>
      <c r="S227"/>
      <c r="T227"/>
      <c r="U227" s="1067"/>
      <c r="V227" s="1068"/>
      <c r="W227" s="1068"/>
      <c r="X227" s="1068"/>
      <c r="Y227" s="1068"/>
      <c r="Z227" s="1068"/>
      <c r="AA227" s="1068"/>
      <c r="AB227" s="1068"/>
      <c r="AC227" s="1068"/>
      <c r="AD227" s="1068"/>
      <c r="AE227" s="1068"/>
      <c r="AF227" s="1068"/>
      <c r="AG227" s="1068"/>
      <c r="AH227" s="1068"/>
      <c r="AI227" s="1068"/>
      <c r="AJ227" s="1068"/>
      <c r="AK227" s="1068"/>
    </row>
    <row r="228" spans="1:37" s="1" customFormat="1">
      <c r="B228" s="1073"/>
      <c r="C228" s="1073"/>
      <c r="D228" s="1073"/>
      <c r="E228" s="1073"/>
      <c r="O228" s="10"/>
      <c r="P228" s="10"/>
      <c r="Q228" s="10"/>
      <c r="R228" s="10"/>
      <c r="U228" s="216"/>
      <c r="V228"/>
      <c r="W228"/>
      <c r="X228"/>
      <c r="Y228"/>
      <c r="Z228"/>
      <c r="AA228"/>
      <c r="AB228"/>
      <c r="AC228"/>
      <c r="AD228"/>
      <c r="AE228"/>
      <c r="AF228"/>
      <c r="AG228"/>
      <c r="AH228"/>
      <c r="AI228"/>
      <c r="AJ228"/>
      <c r="AK228"/>
    </row>
    <row r="229" spans="1:37">
      <c r="A229" s="10"/>
      <c r="B229" s="10"/>
      <c r="C229" s="10"/>
      <c r="D229" s="10"/>
      <c r="E229" s="10"/>
      <c r="F229" s="10"/>
      <c r="G229" s="10"/>
      <c r="H229" s="10"/>
      <c r="I229" s="10"/>
      <c r="J229" s="10"/>
      <c r="K229" s="10"/>
      <c r="L229" s="10"/>
      <c r="M229" s="10"/>
    </row>
    <row r="230" spans="1:37" ht="15" thickBot="1">
      <c r="A230" s="10"/>
      <c r="B230" s="10"/>
      <c r="C230" s="10"/>
      <c r="D230" s="10"/>
      <c r="E230" s="10"/>
      <c r="F230" s="10"/>
      <c r="G230" s="10"/>
      <c r="H230" s="10"/>
      <c r="I230" s="10"/>
      <c r="J230" s="10"/>
      <c r="K230" s="10"/>
      <c r="L230" s="10"/>
      <c r="M230" s="10"/>
    </row>
    <row r="231" spans="1:37" ht="17.25" customHeight="1" thickBot="1">
      <c r="A231" s="10"/>
      <c r="B231" s="2166" t="s">
        <v>954</v>
      </c>
      <c r="C231" s="2167"/>
      <c r="D231" s="2167"/>
      <c r="E231" s="2167"/>
      <c r="F231" s="2167"/>
      <c r="G231" s="2167"/>
      <c r="H231" s="2167"/>
      <c r="I231" s="2167"/>
      <c r="J231" s="2167"/>
      <c r="K231" s="2167"/>
      <c r="L231" s="2167"/>
      <c r="M231" s="2168"/>
    </row>
    <row r="232" spans="1:37" ht="17.25" customHeight="1">
      <c r="A232" s="10"/>
      <c r="B232" s="2264" t="s">
        <v>898</v>
      </c>
      <c r="C232" s="2265"/>
      <c r="D232" s="2265"/>
      <c r="E232" s="2265"/>
      <c r="F232" s="2265"/>
      <c r="G232" s="2265" t="s">
        <v>342</v>
      </c>
      <c r="H232" s="2265"/>
      <c r="I232" s="2265" t="s">
        <v>43</v>
      </c>
      <c r="J232" s="2265"/>
      <c r="K232" s="2265"/>
      <c r="L232" s="2265"/>
      <c r="M232" s="2267"/>
    </row>
    <row r="233" spans="1:37" s="1068" customFormat="1" ht="15.9" customHeight="1">
      <c r="A233" s="1065"/>
      <c r="B233" s="2271" t="s">
        <v>958</v>
      </c>
      <c r="C233" s="2272"/>
      <c r="D233" s="2272"/>
      <c r="E233" s="2272"/>
      <c r="F233" s="1143"/>
      <c r="G233" s="2256"/>
      <c r="H233" s="2256"/>
      <c r="I233" s="1141"/>
      <c r="J233" s="1141"/>
      <c r="K233" s="1141"/>
      <c r="L233" s="1141"/>
      <c r="M233" s="1145"/>
      <c r="N233" s="1065"/>
      <c r="O233" s="1065"/>
      <c r="P233" s="1065"/>
      <c r="Q233" s="1065"/>
      <c r="R233" s="1065"/>
      <c r="S233" s="1066"/>
      <c r="T233" s="1066"/>
      <c r="U233" s="216"/>
      <c r="V233"/>
      <c r="W233"/>
      <c r="X233"/>
      <c r="Y233"/>
      <c r="Z233"/>
      <c r="AA233"/>
      <c r="AB233"/>
      <c r="AC233"/>
      <c r="AD233"/>
      <c r="AE233"/>
      <c r="AF233"/>
      <c r="AG233"/>
      <c r="AH233"/>
      <c r="AI233"/>
      <c r="AJ233"/>
      <c r="AK233"/>
    </row>
    <row r="234" spans="1:37" s="1068" customFormat="1" ht="15.9" customHeight="1">
      <c r="A234" s="1065"/>
      <c r="B234" s="2271" t="s">
        <v>959</v>
      </c>
      <c r="C234" s="2272"/>
      <c r="D234" s="2272"/>
      <c r="E234" s="2272"/>
      <c r="F234" s="1143"/>
      <c r="G234" s="2256"/>
      <c r="H234" s="2256"/>
      <c r="I234" s="1141"/>
      <c r="J234" s="1141"/>
      <c r="K234" s="1141"/>
      <c r="L234" s="1141"/>
      <c r="M234" s="1145"/>
      <c r="N234" s="1065"/>
      <c r="O234" s="1065"/>
      <c r="P234" s="1065"/>
      <c r="Q234" s="1065"/>
      <c r="R234" s="1065"/>
      <c r="S234" s="1066"/>
      <c r="T234" s="1066"/>
      <c r="U234" s="216"/>
      <c r="V234"/>
      <c r="W234"/>
      <c r="X234"/>
      <c r="Y234"/>
      <c r="Z234"/>
      <c r="AA234"/>
      <c r="AB234"/>
      <c r="AC234"/>
      <c r="AD234"/>
      <c r="AE234"/>
      <c r="AF234"/>
      <c r="AG234"/>
      <c r="AH234"/>
      <c r="AI234"/>
      <c r="AJ234"/>
      <c r="AK234"/>
    </row>
    <row r="235" spans="1:37" s="1068" customFormat="1" ht="15.9" customHeight="1">
      <c r="A235" s="1065"/>
      <c r="B235" s="2271" t="s">
        <v>960</v>
      </c>
      <c r="C235" s="2272"/>
      <c r="D235" s="2272"/>
      <c r="E235" s="2272"/>
      <c r="F235" s="1143"/>
      <c r="G235" s="2256"/>
      <c r="H235" s="2256"/>
      <c r="I235" s="1141"/>
      <c r="J235" s="1141"/>
      <c r="K235" s="1141"/>
      <c r="L235" s="1141"/>
      <c r="M235" s="1145"/>
      <c r="N235" s="1065"/>
      <c r="O235" s="1065"/>
      <c r="P235" s="1065"/>
      <c r="Q235" s="1065"/>
      <c r="R235" s="1065"/>
      <c r="S235" s="1066"/>
      <c r="T235" s="1066"/>
      <c r="U235" s="216"/>
      <c r="V235"/>
      <c r="W235"/>
      <c r="X235"/>
      <c r="Y235"/>
      <c r="Z235"/>
      <c r="AA235"/>
      <c r="AB235"/>
      <c r="AC235"/>
      <c r="AD235"/>
      <c r="AE235"/>
      <c r="AF235"/>
      <c r="AG235"/>
      <c r="AH235"/>
      <c r="AI235"/>
      <c r="AJ235"/>
      <c r="AK235"/>
    </row>
    <row r="236" spans="1:37" s="1068" customFormat="1" ht="15.9" customHeight="1">
      <c r="A236" s="1065"/>
      <c r="B236" s="2271" t="s">
        <v>961</v>
      </c>
      <c r="C236" s="2272"/>
      <c r="D236" s="2272"/>
      <c r="E236" s="2272"/>
      <c r="F236" s="1143"/>
      <c r="G236" s="2256"/>
      <c r="H236" s="2256"/>
      <c r="I236" s="1141"/>
      <c r="J236" s="1141"/>
      <c r="K236" s="1141"/>
      <c r="L236" s="1141"/>
      <c r="M236" s="1145"/>
      <c r="N236" s="1065"/>
      <c r="O236" s="1065"/>
      <c r="P236" s="1065"/>
      <c r="Q236" s="1065"/>
      <c r="R236" s="1065"/>
      <c r="S236" s="1066"/>
      <c r="T236" s="1066"/>
      <c r="U236" s="216"/>
      <c r="V236"/>
      <c r="W236"/>
      <c r="X236"/>
      <c r="Y236"/>
      <c r="Z236"/>
      <c r="AA236"/>
      <c r="AB236"/>
      <c r="AC236"/>
      <c r="AD236"/>
      <c r="AE236"/>
      <c r="AF236"/>
      <c r="AG236"/>
      <c r="AH236"/>
      <c r="AI236"/>
      <c r="AJ236"/>
      <c r="AK236"/>
    </row>
    <row r="237" spans="1:37" s="1068" customFormat="1" ht="15.9" customHeight="1">
      <c r="A237" s="1065"/>
      <c r="B237" s="2271" t="s">
        <v>962</v>
      </c>
      <c r="C237" s="2272"/>
      <c r="D237" s="2272"/>
      <c r="E237" s="2272"/>
      <c r="F237" s="1143"/>
      <c r="G237" s="2256"/>
      <c r="H237" s="2256"/>
      <c r="I237" s="1141"/>
      <c r="J237" s="1141"/>
      <c r="K237" s="1141"/>
      <c r="L237" s="1141"/>
      <c r="M237" s="1145"/>
      <c r="N237" s="1065"/>
      <c r="O237" s="1065"/>
      <c r="P237" s="1065"/>
      <c r="Q237" s="1065"/>
      <c r="R237" s="1065"/>
      <c r="S237" s="1066"/>
      <c r="T237" s="1066"/>
      <c r="U237" s="216"/>
      <c r="V237"/>
      <c r="W237"/>
      <c r="X237"/>
      <c r="Y237"/>
      <c r="Z237"/>
      <c r="AA237"/>
      <c r="AB237"/>
      <c r="AC237"/>
      <c r="AD237"/>
      <c r="AE237"/>
      <c r="AF237"/>
      <c r="AG237"/>
      <c r="AH237"/>
      <c r="AI237"/>
      <c r="AJ237"/>
      <c r="AK237"/>
    </row>
    <row r="238" spans="1:37" s="1068" customFormat="1" ht="15.9" customHeight="1">
      <c r="A238" s="1065"/>
      <c r="B238" s="2271" t="s">
        <v>963</v>
      </c>
      <c r="C238" s="2272"/>
      <c r="D238" s="2272"/>
      <c r="E238" s="2272"/>
      <c r="F238" s="1143"/>
      <c r="G238" s="2256"/>
      <c r="H238" s="2256"/>
      <c r="I238" s="1141"/>
      <c r="J238" s="1141"/>
      <c r="K238" s="1141"/>
      <c r="L238" s="1141"/>
      <c r="M238" s="1145"/>
      <c r="N238" s="1065"/>
      <c r="O238" s="1065"/>
      <c r="P238" s="1065"/>
      <c r="Q238" s="1065"/>
      <c r="R238" s="1065"/>
      <c r="S238" s="1066"/>
      <c r="T238" s="1066"/>
      <c r="U238" s="216"/>
      <c r="V238"/>
      <c r="W238"/>
      <c r="X238"/>
      <c r="Y238"/>
      <c r="Z238"/>
      <c r="AA238"/>
      <c r="AB238"/>
      <c r="AC238"/>
      <c r="AD238"/>
      <c r="AE238"/>
      <c r="AF238"/>
      <c r="AG238"/>
      <c r="AH238"/>
      <c r="AI238"/>
      <c r="AJ238"/>
      <c r="AK238"/>
    </row>
    <row r="239" spans="1:37" s="1068" customFormat="1" ht="15.9" customHeight="1">
      <c r="A239" s="1065"/>
      <c r="B239" s="2271" t="s">
        <v>964</v>
      </c>
      <c r="C239" s="2272"/>
      <c r="D239" s="2272"/>
      <c r="E239" s="2272"/>
      <c r="F239" s="1143"/>
      <c r="G239" s="2256"/>
      <c r="H239" s="2256"/>
      <c r="I239" s="1141"/>
      <c r="J239" s="1141"/>
      <c r="K239" s="1141"/>
      <c r="L239" s="1141"/>
      <c r="M239" s="1145"/>
      <c r="N239" s="1065"/>
      <c r="O239" s="1065"/>
      <c r="P239" s="1065"/>
      <c r="Q239" s="1065"/>
      <c r="R239" s="1065"/>
      <c r="S239" s="1066"/>
      <c r="T239" s="1066"/>
      <c r="U239" s="216"/>
      <c r="V239"/>
      <c r="W239"/>
      <c r="X239"/>
      <c r="Y239"/>
      <c r="Z239"/>
      <c r="AA239"/>
      <c r="AB239"/>
      <c r="AC239"/>
      <c r="AD239"/>
      <c r="AE239"/>
      <c r="AF239"/>
      <c r="AG239"/>
      <c r="AH239"/>
      <c r="AI239"/>
      <c r="AJ239"/>
      <c r="AK239"/>
    </row>
    <row r="240" spans="1:37" s="1068" customFormat="1" ht="15.9" customHeight="1">
      <c r="A240" s="1065"/>
      <c r="B240" s="2271" t="s">
        <v>965</v>
      </c>
      <c r="C240" s="2272"/>
      <c r="D240" s="2272"/>
      <c r="E240" s="2272"/>
      <c r="F240" s="1143"/>
      <c r="G240" s="2256"/>
      <c r="H240" s="2256"/>
      <c r="I240" s="1141"/>
      <c r="J240" s="1141"/>
      <c r="K240" s="1141"/>
      <c r="L240" s="1141"/>
      <c r="M240" s="1145"/>
      <c r="N240" s="1065"/>
      <c r="O240" s="1065"/>
      <c r="P240" s="1065"/>
      <c r="Q240" s="1065"/>
      <c r="R240" s="1065"/>
      <c r="S240" s="1066"/>
      <c r="T240" s="1066"/>
      <c r="U240" s="216"/>
      <c r="V240"/>
      <c r="W240"/>
      <c r="X240"/>
      <c r="Y240"/>
      <c r="Z240"/>
      <c r="AA240"/>
      <c r="AB240"/>
      <c r="AC240"/>
      <c r="AD240"/>
      <c r="AE240"/>
      <c r="AF240"/>
      <c r="AG240"/>
      <c r="AH240"/>
      <c r="AI240"/>
      <c r="AJ240"/>
      <c r="AK240"/>
    </row>
    <row r="241" spans="1:37" s="1068" customFormat="1" ht="15.9" customHeight="1">
      <c r="A241" s="1065"/>
      <c r="B241" s="2271" t="s">
        <v>966</v>
      </c>
      <c r="C241" s="2272"/>
      <c r="D241" s="2272"/>
      <c r="E241" s="2272"/>
      <c r="F241" s="1143"/>
      <c r="G241" s="2256"/>
      <c r="H241" s="2256"/>
      <c r="I241" s="1141"/>
      <c r="J241" s="1141"/>
      <c r="K241" s="1141"/>
      <c r="L241" s="1141"/>
      <c r="M241" s="1145"/>
      <c r="N241" s="1065"/>
      <c r="O241" s="1065"/>
      <c r="P241" s="1065"/>
      <c r="Q241" s="1065"/>
      <c r="R241" s="1065"/>
      <c r="S241" s="1066"/>
      <c r="T241" s="1066"/>
      <c r="U241" s="216"/>
      <c r="V241"/>
      <c r="W241"/>
      <c r="X241"/>
      <c r="Y241"/>
      <c r="Z241"/>
      <c r="AA241"/>
      <c r="AB241"/>
      <c r="AC241"/>
      <c r="AD241"/>
      <c r="AE241"/>
      <c r="AF241"/>
      <c r="AG241"/>
      <c r="AH241"/>
      <c r="AI241"/>
      <c r="AJ241"/>
      <c r="AK241"/>
    </row>
    <row r="242" spans="1:37" ht="15.9" customHeight="1">
      <c r="A242" s="10"/>
      <c r="B242" s="2271" t="s">
        <v>967</v>
      </c>
      <c r="C242" s="2272"/>
      <c r="D242" s="2272"/>
      <c r="E242" s="2272"/>
      <c r="F242" s="1144"/>
      <c r="G242" s="2256"/>
      <c r="H242" s="2256"/>
      <c r="I242" s="1142"/>
      <c r="J242" s="1142"/>
      <c r="K242" s="1142"/>
      <c r="L242" s="1142"/>
      <c r="M242" s="1146"/>
    </row>
    <row r="243" spans="1:37" ht="15.6">
      <c r="A243" s="10"/>
      <c r="B243" s="2260" t="s">
        <v>82</v>
      </c>
      <c r="C243" s="2261"/>
      <c r="D243" s="2261"/>
      <c r="E243" s="2261"/>
      <c r="F243" s="1144"/>
      <c r="G243" s="2256"/>
      <c r="H243" s="2256"/>
      <c r="I243" s="1142"/>
      <c r="J243" s="1142"/>
      <c r="K243" s="1142"/>
      <c r="L243" s="1142"/>
      <c r="M243" s="1146"/>
    </row>
    <row r="244" spans="1:37" ht="15.6">
      <c r="A244" s="10"/>
      <c r="B244" s="2260" t="s">
        <v>335</v>
      </c>
      <c r="C244" s="2261"/>
      <c r="D244" s="2261"/>
      <c r="E244" s="2261"/>
      <c r="F244" s="1144"/>
      <c r="G244" s="2256"/>
      <c r="H244" s="2256"/>
      <c r="I244" s="1142"/>
      <c r="J244" s="1142"/>
      <c r="K244" s="1142"/>
      <c r="L244" s="1142"/>
      <c r="M244" s="1146"/>
    </row>
    <row r="245" spans="1:37" ht="15.6">
      <c r="A245" s="4"/>
      <c r="B245" s="2260" t="s">
        <v>338</v>
      </c>
      <c r="C245" s="2261"/>
      <c r="D245" s="2261"/>
      <c r="E245" s="2261"/>
      <c r="F245" s="1144"/>
      <c r="G245" s="2256"/>
      <c r="H245" s="2256"/>
      <c r="I245" s="1138"/>
      <c r="J245" s="1138"/>
      <c r="K245" s="1138"/>
      <c r="L245" s="1138"/>
      <c r="M245" s="1147"/>
      <c r="N245" s="4"/>
      <c r="O245" s="4"/>
    </row>
    <row r="246" spans="1:37" ht="16.2" thickBot="1">
      <c r="A246" s="4"/>
      <c r="B246" s="2262" t="s">
        <v>72</v>
      </c>
      <c r="C246" s="2263"/>
      <c r="D246" s="2263"/>
      <c r="E246" s="2263"/>
      <c r="F246" s="1148">
        <f>SUM(F233:F245)</f>
        <v>0</v>
      </c>
      <c r="G246" s="2266"/>
      <c r="H246" s="2266"/>
      <c r="I246" s="1149"/>
      <c r="J246" s="1149"/>
      <c r="K246" s="1149"/>
      <c r="L246" s="1149"/>
      <c r="M246" s="1150"/>
      <c r="N246" s="4"/>
      <c r="O246" s="4"/>
    </row>
    <row r="247" spans="1:37" ht="15.6">
      <c r="A247" s="4"/>
      <c r="B247" s="1137" t="s">
        <v>972</v>
      </c>
      <c r="C247" s="1139"/>
      <c r="D247" s="1139"/>
      <c r="E247" s="1139"/>
      <c r="F247" s="1139"/>
      <c r="G247" s="1140"/>
      <c r="H247" s="1139"/>
      <c r="I247" s="1139"/>
      <c r="J247" s="1139"/>
      <c r="K247" s="1139"/>
      <c r="L247" s="1139"/>
      <c r="M247" s="1139"/>
      <c r="N247" s="4"/>
      <c r="O247" s="4"/>
    </row>
    <row r="248" spans="1:37">
      <c r="A248" s="4"/>
      <c r="B248" s="4"/>
      <c r="C248" s="4"/>
      <c r="D248" s="4"/>
      <c r="E248" s="4"/>
      <c r="F248" s="4"/>
      <c r="G248" s="4"/>
      <c r="H248" s="4"/>
      <c r="I248" s="4"/>
      <c r="J248" s="4"/>
      <c r="K248" s="4"/>
      <c r="L248" s="4"/>
      <c r="M248" s="4"/>
      <c r="N248" s="4"/>
      <c r="O248" s="4"/>
    </row>
    <row r="249" spans="1:37">
      <c r="B249" s="10"/>
      <c r="C249" s="10"/>
      <c r="D249" s="10"/>
      <c r="E249" s="10"/>
      <c r="F249" s="10"/>
      <c r="G249" s="10"/>
      <c r="H249" s="10"/>
      <c r="I249" s="10"/>
      <c r="J249" s="10"/>
      <c r="K249" s="10"/>
      <c r="L249" s="10"/>
      <c r="M249" s="10"/>
    </row>
    <row r="250" spans="1:37" ht="15" thickBot="1">
      <c r="B250" s="10"/>
      <c r="C250" s="10"/>
      <c r="D250" s="10"/>
      <c r="E250" s="10"/>
      <c r="F250" s="10"/>
      <c r="G250" s="10"/>
      <c r="H250" s="10"/>
      <c r="I250" s="10"/>
      <c r="J250" s="10"/>
      <c r="K250" s="10"/>
      <c r="L250" s="10"/>
      <c r="M250" s="10"/>
    </row>
    <row r="251" spans="1:37" ht="18.600000000000001" thickBot="1">
      <c r="B251" s="2173" t="s">
        <v>955</v>
      </c>
      <c r="C251" s="2174"/>
      <c r="D251" s="2174"/>
      <c r="E251" s="2174"/>
      <c r="F251" s="2174"/>
      <c r="G251" s="2174"/>
      <c r="H251" s="2174"/>
      <c r="I251" s="2174"/>
      <c r="J251" s="2174"/>
      <c r="K251" s="2174"/>
      <c r="L251" s="2174"/>
      <c r="M251" s="2175"/>
    </row>
    <row r="252" spans="1:37" ht="18" thickBot="1">
      <c r="B252" s="900"/>
      <c r="C252" s="901"/>
      <c r="D252" s="901"/>
      <c r="E252" s="901"/>
      <c r="F252" s="901"/>
      <c r="G252" s="901"/>
      <c r="H252" s="902" t="s">
        <v>55</v>
      </c>
      <c r="I252" s="1888" t="s">
        <v>197</v>
      </c>
      <c r="J252" s="1888"/>
      <c r="K252" s="1888" t="s">
        <v>334</v>
      </c>
      <c r="L252" s="1888"/>
      <c r="M252" s="1889"/>
    </row>
    <row r="253" spans="1:37" ht="18" thickBot="1">
      <c r="B253" s="1869" t="s">
        <v>854</v>
      </c>
      <c r="C253" s="1870"/>
      <c r="D253" s="1870"/>
      <c r="E253" s="1870"/>
      <c r="F253" s="1870"/>
      <c r="G253" s="1870"/>
      <c r="H253" s="1870"/>
      <c r="I253" s="1870"/>
      <c r="J253" s="1870"/>
      <c r="K253" s="1870"/>
      <c r="L253" s="1870"/>
      <c r="M253" s="1871"/>
    </row>
    <row r="254" spans="1:37" ht="48" customHeight="1">
      <c r="B254" s="2329" t="s">
        <v>837</v>
      </c>
      <c r="C254" s="2330"/>
      <c r="D254" s="2330"/>
      <c r="E254" s="2330"/>
      <c r="F254" s="2330"/>
      <c r="G254" s="2331"/>
      <c r="H254" s="903"/>
      <c r="I254" s="1875"/>
      <c r="J254" s="1875"/>
      <c r="K254" s="1893"/>
      <c r="L254" s="1893"/>
      <c r="M254" s="1894"/>
    </row>
    <row r="255" spans="1:37">
      <c r="B255" s="1895" t="s">
        <v>838</v>
      </c>
      <c r="C255" s="1896"/>
      <c r="D255" s="1896"/>
      <c r="E255" s="1896"/>
      <c r="F255" s="1896"/>
      <c r="G255" s="1897"/>
      <c r="H255" s="903"/>
      <c r="I255" s="1875"/>
      <c r="J255" s="1875"/>
      <c r="K255" s="2340" t="s">
        <v>844</v>
      </c>
      <c r="L255" s="2340"/>
      <c r="M255" s="2341"/>
      <c r="N255" s="10" t="s">
        <v>840</v>
      </c>
    </row>
    <row r="256" spans="1:37">
      <c r="B256" s="1878" t="s">
        <v>47</v>
      </c>
      <c r="C256" s="1879"/>
      <c r="D256" s="1879"/>
      <c r="E256" s="1879"/>
      <c r="F256" s="1879"/>
      <c r="G256" s="1880"/>
      <c r="H256" s="1061"/>
      <c r="I256" s="1864"/>
      <c r="J256" s="1864"/>
      <c r="K256" s="1063"/>
      <c r="L256" s="1063"/>
      <c r="M256" s="1063"/>
      <c r="N256" s="10" t="s">
        <v>840</v>
      </c>
    </row>
    <row r="257" spans="1:18">
      <c r="B257" s="1846" t="s">
        <v>50</v>
      </c>
      <c r="C257" s="1847"/>
      <c r="D257" s="1847"/>
      <c r="E257" s="1847"/>
      <c r="F257" s="1847"/>
      <c r="G257" s="1848"/>
      <c r="H257" s="1061"/>
      <c r="I257" s="1062"/>
      <c r="J257" s="1062"/>
      <c r="K257" s="1063"/>
      <c r="L257" s="1063"/>
      <c r="M257" s="1063"/>
    </row>
    <row r="258" spans="1:18">
      <c r="B258" s="1895" t="s">
        <v>49</v>
      </c>
      <c r="C258" s="1896"/>
      <c r="D258" s="1896"/>
      <c r="E258" s="1896"/>
      <c r="F258" s="1896"/>
      <c r="G258" s="1897"/>
      <c r="H258" s="1061"/>
      <c r="I258" s="1062"/>
      <c r="J258" s="1062"/>
      <c r="K258" s="1063"/>
      <c r="L258" s="1063"/>
      <c r="M258" s="1063"/>
      <c r="N258" s="10" t="s">
        <v>875</v>
      </c>
    </row>
    <row r="259" spans="1:18" ht="16.2" thickBot="1">
      <c r="B259" s="2273" t="s">
        <v>899</v>
      </c>
      <c r="C259" s="2274"/>
      <c r="D259" s="2274"/>
      <c r="E259" s="2274"/>
      <c r="F259" s="2274"/>
      <c r="G259" s="2274"/>
      <c r="H259" s="2274"/>
      <c r="I259" s="2274"/>
      <c r="J259" s="2274"/>
      <c r="K259" s="2274"/>
      <c r="L259" s="2274"/>
      <c r="M259" s="2275"/>
    </row>
    <row r="260" spans="1:18">
      <c r="B260" s="2337" t="s">
        <v>845</v>
      </c>
      <c r="C260" s="2338"/>
      <c r="D260" s="2338"/>
      <c r="E260" s="2338"/>
      <c r="F260" s="2338"/>
      <c r="G260" s="2339"/>
      <c r="H260" s="903"/>
      <c r="I260" s="1875"/>
      <c r="J260" s="1875"/>
      <c r="K260" s="2340" t="s">
        <v>844</v>
      </c>
      <c r="L260" s="2340"/>
      <c r="M260" s="2341"/>
    </row>
    <row r="261" spans="1:18" ht="68.25" customHeight="1">
      <c r="A261" s="10" t="s">
        <v>840</v>
      </c>
      <c r="B261" s="1895" t="s">
        <v>846</v>
      </c>
      <c r="C261" s="1896"/>
      <c r="D261" s="1896"/>
      <c r="E261" s="1896"/>
      <c r="F261" s="1896"/>
      <c r="G261" s="1897"/>
      <c r="H261" s="903"/>
      <c r="I261" s="1875"/>
      <c r="J261" s="1875"/>
      <c r="K261" s="1052"/>
      <c r="L261" s="1053"/>
      <c r="M261" s="1054"/>
      <c r="N261" s="2335" t="s">
        <v>847</v>
      </c>
      <c r="O261" s="2336"/>
      <c r="P261" s="2336"/>
      <c r="Q261" s="1055" t="s">
        <v>848</v>
      </c>
      <c r="R261" s="1055" t="s">
        <v>849</v>
      </c>
    </row>
    <row r="262" spans="1:18" ht="64.5" customHeight="1">
      <c r="B262" s="1895" t="s">
        <v>862</v>
      </c>
      <c r="C262" s="1896"/>
      <c r="D262" s="1896"/>
      <c r="E262" s="1896"/>
      <c r="F262" s="1896"/>
      <c r="G262" s="1897"/>
      <c r="H262" s="903"/>
      <c r="I262" s="1875"/>
      <c r="J262" s="1875"/>
      <c r="K262" s="2257"/>
      <c r="L262" s="2258"/>
      <c r="M262" s="2259"/>
    </row>
    <row r="263" spans="1:18" ht="107.25" customHeight="1" thickBot="1">
      <c r="B263" s="2276" t="s">
        <v>861</v>
      </c>
      <c r="C263" s="2277"/>
      <c r="D263" s="2277"/>
      <c r="E263" s="2277"/>
      <c r="F263" s="2277"/>
      <c r="G263" s="2278"/>
      <c r="H263" s="903"/>
      <c r="I263" s="1875"/>
      <c r="J263" s="1875"/>
      <c r="K263" s="2332"/>
      <c r="L263" s="2333"/>
      <c r="M263" s="2334"/>
    </row>
    <row r="264" spans="1:18">
      <c r="B264" s="2281" t="s">
        <v>839</v>
      </c>
      <c r="C264" s="2282"/>
      <c r="D264" s="2282"/>
      <c r="E264" s="2282"/>
      <c r="F264" s="2282"/>
      <c r="G264" s="2283"/>
      <c r="H264" s="1084" t="str">
        <f>IF(duree_sondes&gt;1000,"oui","non")</f>
        <v>non</v>
      </c>
      <c r="I264" s="2284"/>
      <c r="J264" s="2284"/>
      <c r="K264" s="2285"/>
      <c r="L264" s="2285"/>
      <c r="M264" s="2286"/>
    </row>
    <row r="265" spans="1:18" ht="16.2" thickBot="1">
      <c r="B265" s="2273" t="s">
        <v>841</v>
      </c>
      <c r="C265" s="2274"/>
      <c r="D265" s="2274"/>
      <c r="E265" s="2274"/>
      <c r="F265" s="2274"/>
      <c r="G265" s="2274"/>
      <c r="H265" s="2274"/>
      <c r="I265" s="2274"/>
      <c r="J265" s="2274"/>
      <c r="K265" s="2274"/>
      <c r="L265" s="2274"/>
      <c r="M265" s="2275"/>
    </row>
    <row r="266" spans="1:18">
      <c r="B266" s="2268" t="s">
        <v>850</v>
      </c>
      <c r="C266" s="2269"/>
      <c r="D266" s="2269"/>
      <c r="E266" s="2269"/>
      <c r="F266" s="2269"/>
      <c r="G266" s="2270"/>
      <c r="H266" s="903"/>
      <c r="I266" s="904"/>
      <c r="J266" s="904"/>
      <c r="K266" s="905"/>
      <c r="L266" s="905"/>
      <c r="M266" s="906"/>
      <c r="N266" s="10" t="s">
        <v>860</v>
      </c>
    </row>
    <row r="267" spans="1:18">
      <c r="B267" s="2342" t="s">
        <v>872</v>
      </c>
      <c r="C267" s="2343"/>
      <c r="D267" s="2343"/>
      <c r="E267" s="2343"/>
      <c r="F267" s="2343"/>
      <c r="G267" s="2344"/>
      <c r="H267" s="903"/>
      <c r="I267" s="904"/>
      <c r="J267" s="904"/>
      <c r="K267" s="905"/>
      <c r="L267" s="905"/>
      <c r="M267" s="906"/>
      <c r="N267" s="10" t="s">
        <v>874</v>
      </c>
    </row>
    <row r="268" spans="1:18">
      <c r="B268" s="2342" t="s">
        <v>873</v>
      </c>
      <c r="C268" s="2343"/>
      <c r="D268" s="2343"/>
      <c r="E268" s="2343"/>
      <c r="F268" s="2343"/>
      <c r="G268" s="2344"/>
      <c r="H268" s="903"/>
      <c r="I268" s="904"/>
      <c r="J268" s="904"/>
      <c r="K268" s="905"/>
      <c r="L268" s="905"/>
      <c r="M268" s="906"/>
    </row>
    <row r="269" spans="1:18" ht="42" customHeight="1">
      <c r="B269" s="1895" t="s">
        <v>851</v>
      </c>
      <c r="C269" s="1896"/>
      <c r="D269" s="1896"/>
      <c r="E269" s="1896"/>
      <c r="F269" s="1896"/>
      <c r="G269" s="1897"/>
      <c r="H269" s="903"/>
      <c r="I269" s="904"/>
      <c r="J269" s="904"/>
      <c r="K269" s="905"/>
      <c r="L269" s="905"/>
      <c r="M269" s="906"/>
    </row>
    <row r="270" spans="1:18">
      <c r="B270" s="2342" t="s">
        <v>852</v>
      </c>
      <c r="C270" s="2343"/>
      <c r="D270" s="2343"/>
      <c r="E270" s="2343"/>
      <c r="F270" s="2343"/>
      <c r="G270" s="2344"/>
      <c r="H270" s="903"/>
      <c r="I270" s="904"/>
      <c r="J270" s="904"/>
      <c r="K270" s="905"/>
      <c r="L270" s="905"/>
      <c r="M270" s="906"/>
    </row>
    <row r="271" spans="1:18" ht="37.5" customHeight="1">
      <c r="B271" s="1895" t="s">
        <v>863</v>
      </c>
      <c r="C271" s="1896"/>
      <c r="D271" s="1896"/>
      <c r="E271" s="1896"/>
      <c r="F271" s="1896"/>
      <c r="G271" s="1897"/>
      <c r="H271" s="903"/>
      <c r="I271" s="904"/>
      <c r="J271" s="904"/>
      <c r="K271" s="905"/>
      <c r="L271" s="905"/>
      <c r="M271" s="906"/>
    </row>
    <row r="272" spans="1:18" ht="89.25" customHeight="1" thickBot="1">
      <c r="B272" s="2276" t="s">
        <v>864</v>
      </c>
      <c r="C272" s="2277"/>
      <c r="D272" s="2277"/>
      <c r="E272" s="2277"/>
      <c r="F272" s="2277"/>
      <c r="G272" s="2278"/>
      <c r="H272" s="903"/>
      <c r="I272" s="904"/>
      <c r="J272" s="904"/>
      <c r="K272" s="905"/>
      <c r="L272" s="905"/>
      <c r="M272" s="906"/>
    </row>
    <row r="273" spans="2:15">
      <c r="B273" s="2281" t="s">
        <v>839</v>
      </c>
      <c r="C273" s="2282"/>
      <c r="D273" s="2282"/>
      <c r="E273" s="2282"/>
      <c r="F273" s="2282"/>
      <c r="G273" s="2283"/>
      <c r="H273" s="1084" t="str">
        <f>IF(duree_nappe&gt;1000,"oui","non")</f>
        <v>non</v>
      </c>
      <c r="I273" s="2284"/>
      <c r="J273" s="2284"/>
      <c r="K273" s="2285"/>
      <c r="L273" s="2285"/>
      <c r="M273" s="2286"/>
    </row>
    <row r="274" spans="2:15" ht="16.2" thickBot="1">
      <c r="B274" s="2273" t="s">
        <v>842</v>
      </c>
      <c r="C274" s="2274"/>
      <c r="D274" s="2274"/>
      <c r="E274" s="2274"/>
      <c r="F274" s="2274"/>
      <c r="G274" s="2274"/>
      <c r="H274" s="2274"/>
      <c r="I274" s="2274"/>
      <c r="J274" s="2274"/>
      <c r="K274" s="2274"/>
      <c r="L274" s="2274"/>
      <c r="M274" s="2275"/>
    </row>
    <row r="275" spans="2:15">
      <c r="B275" s="2268" t="s">
        <v>853</v>
      </c>
      <c r="C275" s="2269"/>
      <c r="D275" s="2269"/>
      <c r="E275" s="2269"/>
      <c r="F275" s="2269"/>
      <c r="G275" s="2270"/>
      <c r="H275" s="903"/>
      <c r="I275" s="1875"/>
      <c r="J275" s="1875"/>
      <c r="K275" s="1893"/>
      <c r="L275" s="1893"/>
      <c r="M275" s="1894"/>
    </row>
    <row r="276" spans="2:15" ht="33" customHeight="1">
      <c r="B276" s="1895" t="s">
        <v>865</v>
      </c>
      <c r="C276" s="1896"/>
      <c r="D276" s="1896"/>
      <c r="E276" s="1896"/>
      <c r="F276" s="1896"/>
      <c r="G276" s="1897"/>
      <c r="H276" s="903"/>
      <c r="I276" s="904"/>
      <c r="J276" s="904"/>
      <c r="K276" s="1893"/>
      <c r="L276" s="1893"/>
      <c r="M276" s="1894"/>
    </row>
    <row r="277" spans="2:15">
      <c r="B277" s="2281" t="s">
        <v>839</v>
      </c>
      <c r="C277" s="2282"/>
      <c r="D277" s="2282"/>
      <c r="E277" s="2282"/>
      <c r="F277" s="2282"/>
      <c r="G277" s="2283"/>
      <c r="H277" s="1084" t="str">
        <f>IF(duree_eaux&gt;1000,"oui","non")</f>
        <v>non</v>
      </c>
      <c r="I277" s="2284"/>
      <c r="J277" s="2284"/>
      <c r="K277" s="2285"/>
      <c r="L277" s="2285"/>
      <c r="M277" s="2286"/>
    </row>
    <row r="278" spans="2:15" ht="15.6">
      <c r="B278" s="2273" t="s">
        <v>843</v>
      </c>
      <c r="C278" s="2274"/>
      <c r="D278" s="2274"/>
      <c r="E278" s="2274"/>
      <c r="F278" s="2274"/>
      <c r="G278" s="2274"/>
      <c r="H278" s="2274"/>
      <c r="I278" s="2274"/>
      <c r="J278" s="2274"/>
      <c r="K278" s="2274"/>
      <c r="L278" s="2274"/>
      <c r="M278" s="2275"/>
    </row>
    <row r="279" spans="2:15" ht="51" customHeight="1">
      <c r="B279" s="1895" t="s">
        <v>868</v>
      </c>
      <c r="C279" s="1896"/>
      <c r="D279" s="1896"/>
      <c r="E279" s="1896"/>
      <c r="F279" s="1896"/>
      <c r="G279" s="1897"/>
      <c r="H279" s="1085" t="s">
        <v>869</v>
      </c>
      <c r="I279" s="904"/>
      <c r="J279" s="904"/>
      <c r="K279" s="905"/>
      <c r="L279" s="905"/>
      <c r="M279" s="906"/>
      <c r="N279" s="10" t="s">
        <v>870</v>
      </c>
    </row>
    <row r="280" spans="2:15" ht="37.5" customHeight="1" thickBot="1">
      <c r="B280" s="1895" t="s">
        <v>871</v>
      </c>
      <c r="C280" s="1896"/>
      <c r="D280" s="1896"/>
      <c r="E280" s="1896"/>
      <c r="F280" s="1896"/>
      <c r="G280" s="1897"/>
      <c r="H280" s="903"/>
      <c r="I280" s="904"/>
      <c r="J280" s="904"/>
      <c r="K280" s="905"/>
      <c r="L280" s="905"/>
      <c r="M280" s="906"/>
    </row>
    <row r="281" spans="2:15" ht="18" thickBot="1">
      <c r="B281" s="1869" t="s">
        <v>51</v>
      </c>
      <c r="C281" s="1870"/>
      <c r="D281" s="1870"/>
      <c r="E281" s="1870"/>
      <c r="F281" s="1870"/>
      <c r="G281" s="1870"/>
      <c r="H281" s="1870"/>
      <c r="I281" s="1870"/>
      <c r="J281" s="1870"/>
      <c r="K281" s="1870"/>
      <c r="L281" s="1870"/>
      <c r="M281" s="1871"/>
    </row>
    <row r="282" spans="2:15">
      <c r="B282" s="1861" t="s">
        <v>876</v>
      </c>
      <c r="C282" s="1862"/>
      <c r="D282" s="1862"/>
      <c r="E282" s="1862"/>
      <c r="F282" s="1862"/>
      <c r="G282" s="1863"/>
      <c r="H282" s="1064" t="s">
        <v>877</v>
      </c>
      <c r="I282" s="1864"/>
      <c r="J282" s="1864"/>
      <c r="K282" s="2279" t="str">
        <f>IF(H282&gt;12000," Ce projet doit être déposé dans AAP","")</f>
        <v xml:space="preserve"> Ce projet doit être déposé dans AAP</v>
      </c>
      <c r="L282" s="2279"/>
      <c r="M282" s="2280"/>
    </row>
    <row r="283" spans="2:15" ht="15" thickBot="1">
      <c r="B283" s="1861" t="s">
        <v>878</v>
      </c>
      <c r="C283" s="1862"/>
      <c r="D283" s="1862"/>
      <c r="E283" s="1862"/>
      <c r="F283" s="1862"/>
      <c r="G283" s="1863"/>
      <c r="H283" s="1064" t="s">
        <v>877</v>
      </c>
      <c r="I283" s="1060" t="s">
        <v>908</v>
      </c>
      <c r="J283" s="1060"/>
      <c r="K283" s="2279" t="str">
        <f>IF(H283&gt;12000," Ce projet doit être déposé dans AAP","")</f>
        <v xml:space="preserve"> Ce projet doit être déposé dans AAP</v>
      </c>
      <c r="L283" s="2279"/>
      <c r="M283" s="2280"/>
    </row>
    <row r="284" spans="2:15" ht="18" thickBot="1">
      <c r="B284" s="1869" t="s">
        <v>858</v>
      </c>
      <c r="C284" s="1870"/>
      <c r="D284" s="1870"/>
      <c r="E284" s="1870"/>
      <c r="F284" s="1870"/>
      <c r="G284" s="1870"/>
      <c r="H284" s="1870"/>
      <c r="I284" s="1870"/>
      <c r="J284" s="1870"/>
      <c r="K284" s="1870"/>
      <c r="L284" s="1870"/>
      <c r="M284" s="1871"/>
    </row>
    <row r="285" spans="2:15" ht="47.25" customHeight="1">
      <c r="B285" s="2298" t="s">
        <v>859</v>
      </c>
      <c r="C285" s="2299"/>
      <c r="D285" s="2299"/>
      <c r="E285" s="2299"/>
      <c r="F285" s="2299"/>
      <c r="G285" s="2300"/>
      <c r="H285" s="903"/>
      <c r="I285" s="1875"/>
      <c r="J285" s="1875"/>
      <c r="K285" s="1876"/>
      <c r="L285" s="1876"/>
      <c r="M285" s="1877"/>
    </row>
    <row r="286" spans="2:15" ht="16.5" customHeight="1">
      <c r="B286" s="2290" t="s">
        <v>57</v>
      </c>
      <c r="C286" s="2291"/>
      <c r="D286" s="2291"/>
      <c r="E286" s="2291"/>
      <c r="F286" s="2291"/>
      <c r="G286" s="2292"/>
      <c r="H286" s="903"/>
      <c r="I286" s="904"/>
      <c r="J286" s="904"/>
      <c r="K286" s="917" t="s">
        <v>969</v>
      </c>
      <c r="L286" s="917"/>
      <c r="M286" s="918"/>
    </row>
    <row r="287" spans="2:15" ht="63" customHeight="1">
      <c r="B287" s="1057" t="s">
        <v>880</v>
      </c>
      <c r="C287" s="910"/>
      <c r="D287" s="910"/>
      <c r="E287" s="910"/>
      <c r="F287" s="910"/>
      <c r="G287" s="911"/>
      <c r="H287" s="903"/>
      <c r="I287" s="904"/>
      <c r="J287" s="904"/>
      <c r="K287" s="2293" t="s">
        <v>968</v>
      </c>
      <c r="L287" s="2294"/>
      <c r="M287" s="2294"/>
      <c r="N287" s="2294"/>
      <c r="O287" s="2294"/>
    </row>
    <row r="288" spans="2:15">
      <c r="B288" s="1057" t="s">
        <v>881</v>
      </c>
      <c r="C288" s="910"/>
      <c r="D288" s="910"/>
      <c r="E288" s="910"/>
      <c r="F288" s="910"/>
      <c r="G288" s="911"/>
      <c r="H288" s="903"/>
      <c r="I288" s="904"/>
      <c r="J288" s="904"/>
      <c r="K288" s="917"/>
      <c r="L288" s="917"/>
      <c r="M288" s="918"/>
    </row>
    <row r="289" spans="2:13">
      <c r="B289" s="1057" t="s">
        <v>882</v>
      </c>
      <c r="C289" s="910"/>
      <c r="D289" s="910"/>
      <c r="E289" s="910"/>
      <c r="F289" s="910"/>
      <c r="G289" s="911"/>
      <c r="H289" s="903"/>
      <c r="I289" s="904"/>
      <c r="J289" s="904"/>
      <c r="K289" s="917"/>
      <c r="L289" s="917"/>
      <c r="M289" s="918"/>
    </row>
    <row r="290" spans="2:13">
      <c r="B290" s="2287" t="s">
        <v>883</v>
      </c>
      <c r="C290" s="2288"/>
      <c r="D290" s="2288"/>
      <c r="E290" s="2288"/>
      <c r="F290" s="2288"/>
      <c r="G290" s="2289"/>
      <c r="H290" s="919"/>
      <c r="I290" s="1843"/>
      <c r="J290" s="1843"/>
      <c r="K290" s="1844"/>
      <c r="L290" s="1844"/>
      <c r="M290" s="1845"/>
    </row>
    <row r="291" spans="2:13">
      <c r="B291" s="1057" t="s">
        <v>884</v>
      </c>
      <c r="C291" s="1058"/>
      <c r="D291" s="1058"/>
      <c r="E291" s="1058"/>
      <c r="F291" s="1058"/>
      <c r="G291" s="1059"/>
      <c r="H291" s="920"/>
      <c r="I291" s="921"/>
      <c r="J291" s="921"/>
      <c r="K291" s="915"/>
      <c r="L291" s="915"/>
      <c r="M291" s="916"/>
    </row>
    <row r="292" spans="2:13" ht="15" thickBot="1">
      <c r="B292" s="2287" t="s">
        <v>879</v>
      </c>
      <c r="C292" s="2288"/>
      <c r="D292" s="2288"/>
      <c r="E292" s="2288"/>
      <c r="F292" s="2288"/>
      <c r="G292" s="2289"/>
      <c r="H292" s="920"/>
      <c r="I292" s="1849"/>
      <c r="J292" s="1849"/>
      <c r="K292" s="1850"/>
      <c r="L292" s="1850"/>
      <c r="M292" s="1851"/>
    </row>
    <row r="293" spans="2:13" ht="18" thickBot="1">
      <c r="B293" s="1869" t="s">
        <v>856</v>
      </c>
      <c r="C293" s="1870"/>
      <c r="D293" s="1870"/>
      <c r="E293" s="1870"/>
      <c r="F293" s="1870"/>
      <c r="G293" s="1870"/>
      <c r="H293" s="1870"/>
      <c r="I293" s="1870"/>
      <c r="J293" s="1870"/>
      <c r="K293" s="1870"/>
      <c r="L293" s="1870"/>
      <c r="M293" s="1871"/>
    </row>
    <row r="294" spans="2:13">
      <c r="B294" s="1895" t="s">
        <v>885</v>
      </c>
      <c r="C294" s="1896"/>
      <c r="D294" s="1896"/>
      <c r="E294" s="1896"/>
      <c r="F294" s="1896"/>
      <c r="G294" s="1897"/>
      <c r="H294" s="903" t="s">
        <v>970</v>
      </c>
      <c r="I294" s="904"/>
      <c r="J294" s="904"/>
      <c r="K294" s="2295"/>
      <c r="L294" s="2296"/>
      <c r="M294" s="2297"/>
    </row>
    <row r="295" spans="2:13" ht="37.5" customHeight="1">
      <c r="B295" s="1826" t="s">
        <v>857</v>
      </c>
      <c r="C295" s="1827"/>
      <c r="D295" s="1827"/>
      <c r="E295" s="1827"/>
      <c r="F295" s="1827"/>
      <c r="G295" s="1828"/>
      <c r="H295" s="1088" t="str">
        <f>IF(entretien="oui","oui","non")</f>
        <v>oui</v>
      </c>
      <c r="I295" s="904"/>
      <c r="J295" s="904"/>
      <c r="K295" s="2257" t="s">
        <v>855</v>
      </c>
      <c r="L295" s="2258"/>
      <c r="M295" s="2259"/>
    </row>
    <row r="296" spans="2:13">
      <c r="B296" s="11"/>
      <c r="C296" s="11"/>
      <c r="D296" s="11"/>
      <c r="E296" s="11"/>
      <c r="F296" s="11"/>
      <c r="G296" s="11"/>
      <c r="H296" s="7"/>
      <c r="I296" s="7"/>
      <c r="J296" s="7"/>
      <c r="K296" s="7"/>
      <c r="L296" s="1"/>
      <c r="M296" s="1"/>
    </row>
    <row r="297" spans="2:13">
      <c r="B297" s="11"/>
      <c r="C297" s="11"/>
      <c r="D297" s="11"/>
      <c r="E297" s="11"/>
      <c r="F297" s="11"/>
      <c r="G297" s="11"/>
      <c r="H297" s="7"/>
      <c r="I297" s="7"/>
      <c r="J297" s="7"/>
      <c r="K297" s="7"/>
      <c r="L297" s="1"/>
      <c r="M297" s="1"/>
    </row>
    <row r="298" spans="2:13" ht="15" thickBot="1">
      <c r="B298" s="11"/>
      <c r="C298" s="11"/>
      <c r="D298" s="11"/>
      <c r="E298" s="11"/>
      <c r="F298" s="11"/>
      <c r="G298" s="11"/>
      <c r="H298" s="7"/>
      <c r="I298" s="7"/>
      <c r="J298" s="7"/>
      <c r="K298" s="7"/>
      <c r="L298" s="1"/>
      <c r="M298" s="1"/>
    </row>
    <row r="299" spans="2:13" ht="18.600000000000001" thickBot="1">
      <c r="B299" s="2173" t="s">
        <v>897</v>
      </c>
      <c r="C299" s="2174"/>
      <c r="D299" s="2174"/>
      <c r="E299" s="2174"/>
      <c r="F299" s="2174"/>
      <c r="G299" s="2174"/>
      <c r="H299" s="2174"/>
      <c r="I299" s="2174"/>
      <c r="J299" s="2174"/>
      <c r="K299" s="2174"/>
      <c r="L299" s="2174"/>
      <c r="M299" s="2175"/>
    </row>
    <row r="300" spans="2:13" ht="18" thickBot="1">
      <c r="B300" s="1833" t="s">
        <v>63</v>
      </c>
      <c r="C300" s="1834"/>
      <c r="D300" s="1834"/>
      <c r="E300" s="923" t="s">
        <v>64</v>
      </c>
      <c r="F300" s="923" t="s">
        <v>103</v>
      </c>
      <c r="G300" s="923" t="s">
        <v>207</v>
      </c>
      <c r="H300" s="1835" t="s">
        <v>342</v>
      </c>
      <c r="I300" s="1836"/>
      <c r="J300" s="1836"/>
      <c r="K300" s="1836"/>
      <c r="L300" s="1836"/>
      <c r="M300" s="1837"/>
    </row>
    <row r="301" spans="2:13" ht="15" thickBot="1">
      <c r="B301" s="1838" t="s">
        <v>102</v>
      </c>
      <c r="C301" s="1838"/>
      <c r="D301" s="1839"/>
      <c r="E301" s="924">
        <v>0</v>
      </c>
      <c r="F301" s="925" t="e">
        <f t="shared" ref="F301:F308" si="0">E301/$E$140</f>
        <v>#DIV/0!</v>
      </c>
      <c r="G301" s="926" t="s">
        <v>209</v>
      </c>
      <c r="H301" s="927"/>
      <c r="I301" s="927"/>
      <c r="J301" s="927"/>
      <c r="K301" s="927"/>
      <c r="L301" s="927"/>
      <c r="M301" s="928"/>
    </row>
    <row r="302" spans="2:13" ht="15" thickBot="1">
      <c r="B302" s="1838" t="s">
        <v>65</v>
      </c>
      <c r="C302" s="1838"/>
      <c r="D302" s="1839"/>
      <c r="E302" s="929">
        <f>SUM(E303:E307)</f>
        <v>0</v>
      </c>
      <c r="F302" s="925" t="e">
        <f t="shared" si="0"/>
        <v>#DIV/0!</v>
      </c>
      <c r="G302" s="926"/>
      <c r="H302" s="930"/>
      <c r="I302" s="930"/>
      <c r="J302" s="930"/>
      <c r="K302" s="930"/>
      <c r="L302" s="930"/>
      <c r="M302" s="931"/>
    </row>
    <row r="303" spans="2:13">
      <c r="B303" s="1788" t="s">
        <v>68</v>
      </c>
      <c r="C303" s="1788"/>
      <c r="D303" s="1789"/>
      <c r="E303" s="932">
        <f>G_subventionADEME</f>
        <v>0</v>
      </c>
      <c r="F303" s="925" t="e">
        <f t="shared" si="0"/>
        <v>#DIV/0!</v>
      </c>
      <c r="G303" s="926"/>
      <c r="H303" s="930"/>
      <c r="I303" s="930"/>
      <c r="J303" s="930"/>
      <c r="K303" s="930"/>
      <c r="L303" s="930"/>
      <c r="M303" s="931"/>
    </row>
    <row r="304" spans="2:13">
      <c r="B304" s="1788" t="s">
        <v>66</v>
      </c>
      <c r="C304" s="1788"/>
      <c r="D304" s="1789"/>
      <c r="E304" s="933">
        <v>0</v>
      </c>
      <c r="F304" s="925" t="e">
        <f t="shared" si="0"/>
        <v>#DIV/0!</v>
      </c>
      <c r="G304" s="926"/>
      <c r="H304" s="930"/>
      <c r="I304" s="930"/>
      <c r="J304" s="930"/>
      <c r="K304" s="930"/>
      <c r="L304" s="930"/>
      <c r="M304" s="931"/>
    </row>
    <row r="305" spans="1:13">
      <c r="B305" s="1788" t="s">
        <v>69</v>
      </c>
      <c r="C305" s="1788"/>
      <c r="D305" s="1789"/>
      <c r="E305" s="933">
        <v>0</v>
      </c>
      <c r="F305" s="925" t="e">
        <f t="shared" si="0"/>
        <v>#DIV/0!</v>
      </c>
      <c r="G305" s="926"/>
      <c r="H305" s="930"/>
      <c r="I305" s="930"/>
      <c r="J305" s="930"/>
      <c r="K305" s="930"/>
      <c r="L305" s="930"/>
      <c r="M305" s="931"/>
    </row>
    <row r="306" spans="1:13">
      <c r="B306" s="1788" t="s">
        <v>70</v>
      </c>
      <c r="C306" s="1788"/>
      <c r="D306" s="1789"/>
      <c r="E306" s="933">
        <v>0</v>
      </c>
      <c r="F306" s="925" t="e">
        <f t="shared" si="0"/>
        <v>#DIV/0!</v>
      </c>
      <c r="G306" s="926"/>
      <c r="H306" s="930"/>
      <c r="I306" s="930"/>
      <c r="J306" s="930"/>
      <c r="K306" s="930"/>
      <c r="L306" s="930"/>
      <c r="M306" s="931"/>
    </row>
    <row r="307" spans="1:13" ht="15" thickBot="1">
      <c r="B307" s="1788" t="s">
        <v>67</v>
      </c>
      <c r="C307" s="1788"/>
      <c r="D307" s="1789"/>
      <c r="E307" s="934">
        <v>0</v>
      </c>
      <c r="F307" s="925" t="e">
        <f t="shared" si="0"/>
        <v>#DIV/0!</v>
      </c>
      <c r="G307" s="926"/>
      <c r="H307" s="930"/>
      <c r="I307" s="930"/>
      <c r="J307" s="930"/>
      <c r="K307" s="930"/>
      <c r="L307" s="930"/>
      <c r="M307" s="931"/>
    </row>
    <row r="308" spans="1:13" ht="15" thickBot="1">
      <c r="B308" s="1790" t="s">
        <v>71</v>
      </c>
      <c r="C308" s="1790"/>
      <c r="D308" s="1791"/>
      <c r="E308" s="935">
        <v>0</v>
      </c>
      <c r="F308" s="936" t="e">
        <f t="shared" si="0"/>
        <v>#DIV/0!</v>
      </c>
      <c r="G308" s="937"/>
      <c r="H308" s="930"/>
      <c r="I308" s="930"/>
      <c r="J308" s="930"/>
      <c r="K308" s="930"/>
      <c r="L308" s="930"/>
      <c r="M308" s="931"/>
    </row>
    <row r="309" spans="1:13" ht="15" thickBot="1">
      <c r="B309" s="1792" t="s">
        <v>810</v>
      </c>
      <c r="C309" s="1793"/>
      <c r="D309" s="1793"/>
      <c r="E309" s="929">
        <f>SUM(E301:E301,E302,E308)</f>
        <v>0</v>
      </c>
      <c r="F309" s="1794" t="e">
        <f>IF(E309&lt;&gt;#REF!,"Vous n'avez pas le même investissement dans le tableau 4"," RAS")</f>
        <v>#REF!</v>
      </c>
      <c r="G309" s="1794"/>
      <c r="H309" s="1794"/>
      <c r="I309" s="1794"/>
      <c r="J309" s="1794"/>
      <c r="K309" s="1794"/>
      <c r="L309" s="1794"/>
      <c r="M309" s="1795"/>
    </row>
    <row r="310" spans="1:13">
      <c r="A310" s="10"/>
      <c r="B310" s="10"/>
      <c r="C310" s="10"/>
      <c r="D310" s="10"/>
      <c r="E310" s="10"/>
      <c r="F310" s="10"/>
      <c r="G310" s="10"/>
      <c r="H310" s="10"/>
      <c r="I310" s="10"/>
      <c r="J310" s="10"/>
      <c r="K310" s="10"/>
      <c r="L310" s="10"/>
      <c r="M310" s="10"/>
    </row>
    <row r="311" spans="1:13">
      <c r="A311" s="10"/>
      <c r="B311" s="10"/>
      <c r="C311" s="10"/>
      <c r="D311" s="10"/>
      <c r="E311" s="10"/>
      <c r="F311" s="10"/>
      <c r="G311" s="10"/>
      <c r="H311" s="10"/>
      <c r="I311" s="10"/>
      <c r="J311" s="10"/>
      <c r="K311" s="10"/>
      <c r="L311" s="10"/>
      <c r="M311" s="10"/>
    </row>
    <row r="312" spans="1:13">
      <c r="A312" s="10"/>
      <c r="B312" s="10"/>
      <c r="C312" s="10"/>
      <c r="D312" s="10"/>
      <c r="E312" s="10"/>
      <c r="F312" s="10"/>
      <c r="G312" s="10"/>
      <c r="H312" s="10"/>
      <c r="I312" s="10"/>
      <c r="J312" s="10"/>
      <c r="K312" s="10"/>
      <c r="L312" s="10"/>
      <c r="M312" s="10"/>
    </row>
    <row r="313" spans="1:13">
      <c r="A313" s="10"/>
      <c r="B313" s="10"/>
      <c r="C313" s="10"/>
      <c r="D313" s="10"/>
      <c r="E313" s="10"/>
      <c r="F313" s="10"/>
      <c r="G313" s="10"/>
      <c r="H313" s="10"/>
      <c r="I313" s="10"/>
      <c r="J313" s="10"/>
      <c r="K313" s="10"/>
      <c r="L313" s="10"/>
      <c r="M313" s="10"/>
    </row>
    <row r="314" spans="1:13">
      <c r="A314" s="10"/>
      <c r="B314" s="10"/>
      <c r="C314" s="10"/>
      <c r="D314" s="10"/>
      <c r="E314" s="10"/>
      <c r="F314" s="10"/>
      <c r="G314" s="10"/>
      <c r="H314" s="10"/>
      <c r="I314" s="10"/>
      <c r="J314" s="10"/>
      <c r="K314" s="10"/>
      <c r="L314" s="10"/>
      <c r="M314" s="10"/>
    </row>
    <row r="315" spans="1:13">
      <c r="A315" s="10"/>
      <c r="B315" s="10"/>
      <c r="C315" s="10"/>
      <c r="D315" s="10"/>
      <c r="E315" s="10"/>
      <c r="F315" s="10"/>
      <c r="G315" s="10"/>
      <c r="H315" s="10"/>
      <c r="I315" s="10"/>
      <c r="J315" s="10"/>
      <c r="K315" s="10"/>
      <c r="L315" s="10"/>
      <c r="M315" s="10"/>
    </row>
    <row r="316" spans="1:13">
      <c r="A316" s="10"/>
      <c r="B316" s="10"/>
      <c r="C316" s="10"/>
      <c r="D316" s="10"/>
      <c r="E316" s="10"/>
      <c r="F316" s="10"/>
      <c r="G316" s="10"/>
      <c r="H316" s="10"/>
      <c r="I316" s="10"/>
      <c r="J316" s="10"/>
      <c r="K316" s="10"/>
      <c r="L316" s="10"/>
      <c r="M316" s="10"/>
    </row>
    <row r="317" spans="1:13">
      <c r="B317" s="10"/>
      <c r="C317" s="10"/>
      <c r="D317" s="10"/>
      <c r="E317" s="10"/>
      <c r="F317" s="10"/>
      <c r="G317" s="10"/>
      <c r="H317" s="10"/>
      <c r="I317" s="10"/>
      <c r="J317" s="10"/>
      <c r="K317" s="10"/>
      <c r="L317" s="10"/>
      <c r="M317" s="10"/>
    </row>
    <row r="318" spans="1:13">
      <c r="B318" s="10"/>
      <c r="C318" s="10"/>
      <c r="D318" s="10"/>
      <c r="E318" s="10"/>
      <c r="F318" s="10"/>
      <c r="G318" s="10"/>
      <c r="H318" s="10"/>
      <c r="I318" s="10"/>
      <c r="J318" s="10"/>
      <c r="K318" s="10"/>
      <c r="L318" s="10"/>
      <c r="M318" s="10"/>
    </row>
    <row r="319" spans="1:13">
      <c r="B319" s="10"/>
      <c r="C319" s="10"/>
      <c r="D319" s="10"/>
      <c r="E319" s="10"/>
      <c r="F319" s="10"/>
      <c r="G319" s="10"/>
      <c r="H319" s="10"/>
      <c r="I319" s="10"/>
      <c r="J319" s="10"/>
      <c r="K319" s="10"/>
      <c r="L319" s="10"/>
      <c r="M319" s="10"/>
    </row>
    <row r="320" spans="1:13">
      <c r="B320" s="10"/>
      <c r="C320" s="10"/>
      <c r="D320" s="10"/>
      <c r="E320" s="10"/>
      <c r="F320" s="10"/>
      <c r="G320" s="10"/>
      <c r="H320" s="10"/>
      <c r="I320" s="10"/>
      <c r="J320" s="10"/>
      <c r="K320" s="10"/>
      <c r="L320" s="10"/>
      <c r="M320" s="10"/>
    </row>
    <row r="321" spans="2:13">
      <c r="B321" s="10"/>
      <c r="C321" s="10"/>
      <c r="D321" s="10"/>
      <c r="E321" s="10"/>
      <c r="F321" s="10"/>
      <c r="G321" s="10"/>
      <c r="H321" s="10"/>
      <c r="I321" s="10"/>
      <c r="J321" s="10"/>
      <c r="K321" s="10"/>
      <c r="L321" s="10"/>
      <c r="M321" s="10"/>
    </row>
    <row r="322" spans="2:13">
      <c r="B322" s="10"/>
      <c r="C322" s="10"/>
      <c r="D322" s="10"/>
      <c r="E322" s="10"/>
      <c r="F322" s="10"/>
      <c r="G322" s="10"/>
      <c r="H322" s="10"/>
      <c r="I322" s="10"/>
      <c r="J322" s="10"/>
      <c r="K322" s="10"/>
      <c r="L322" s="10"/>
      <c r="M322" s="10"/>
    </row>
    <row r="323" spans="2:13">
      <c r="B323" s="10"/>
      <c r="C323" s="10"/>
      <c r="D323" s="10"/>
      <c r="E323" s="10"/>
      <c r="F323" s="10"/>
      <c r="G323" s="10"/>
      <c r="H323" s="10"/>
      <c r="I323" s="10"/>
      <c r="J323" s="10"/>
      <c r="K323" s="10"/>
      <c r="L323" s="10"/>
      <c r="M323" s="10"/>
    </row>
    <row r="324" spans="2:13">
      <c r="B324" s="10"/>
      <c r="C324" s="10"/>
      <c r="D324" s="10"/>
      <c r="E324" s="10"/>
      <c r="F324" s="10"/>
      <c r="G324" s="10"/>
      <c r="H324" s="10"/>
      <c r="I324" s="10"/>
      <c r="J324" s="10"/>
      <c r="K324" s="10"/>
      <c r="L324" s="10"/>
      <c r="M324" s="10"/>
    </row>
    <row r="325" spans="2:13">
      <c r="B325" s="10"/>
      <c r="C325" s="10"/>
      <c r="D325" s="10"/>
      <c r="E325" s="10"/>
      <c r="F325" s="10"/>
      <c r="G325" s="10"/>
      <c r="H325" s="10"/>
      <c r="I325" s="10"/>
      <c r="J325" s="10"/>
      <c r="K325" s="10"/>
      <c r="L325" s="10"/>
      <c r="M325" s="10"/>
    </row>
    <row r="326" spans="2:13">
      <c r="B326" s="10"/>
      <c r="C326" s="10"/>
      <c r="D326" s="10"/>
      <c r="E326" s="10"/>
      <c r="F326" s="10"/>
      <c r="G326" s="10"/>
      <c r="H326" s="10"/>
      <c r="I326" s="10"/>
      <c r="J326" s="10"/>
      <c r="K326" s="10"/>
      <c r="L326" s="10"/>
      <c r="M326" s="10"/>
    </row>
    <row r="327" spans="2:13">
      <c r="B327" s="10"/>
      <c r="C327" s="10"/>
      <c r="D327" s="10"/>
      <c r="E327" s="10"/>
      <c r="F327" s="10"/>
      <c r="G327" s="10"/>
      <c r="H327" s="10"/>
      <c r="I327" s="10"/>
      <c r="J327" s="10"/>
      <c r="K327" s="10"/>
      <c r="L327" s="10"/>
      <c r="M327" s="10"/>
    </row>
    <row r="328" spans="2:13">
      <c r="B328" s="10"/>
      <c r="C328" s="10"/>
      <c r="D328" s="10"/>
      <c r="E328" s="10"/>
      <c r="F328" s="10"/>
      <c r="G328" s="10"/>
      <c r="H328" s="10"/>
      <c r="I328" s="10"/>
      <c r="J328" s="10"/>
      <c r="K328" s="10"/>
      <c r="L328" s="10"/>
      <c r="M328" s="10"/>
    </row>
    <row r="329" spans="2:13">
      <c r="B329" s="10"/>
      <c r="C329" s="10"/>
      <c r="D329" s="10"/>
      <c r="E329" s="10"/>
      <c r="F329" s="10"/>
      <c r="G329" s="10"/>
      <c r="H329" s="10"/>
      <c r="I329" s="10"/>
      <c r="J329" s="10"/>
      <c r="K329" s="10"/>
      <c r="L329" s="10"/>
      <c r="M329" s="10"/>
    </row>
    <row r="330" spans="2:13">
      <c r="B330" s="10"/>
      <c r="C330" s="10"/>
      <c r="D330" s="10"/>
      <c r="E330" s="10"/>
      <c r="F330" s="10"/>
      <c r="G330" s="10"/>
      <c r="H330" s="10"/>
      <c r="I330" s="10"/>
      <c r="J330" s="10"/>
      <c r="K330" s="10"/>
      <c r="L330" s="10"/>
      <c r="M330" s="10"/>
    </row>
    <row r="331" spans="2:13">
      <c r="B331" s="10"/>
      <c r="C331" s="10"/>
      <c r="D331" s="10"/>
      <c r="E331" s="10"/>
      <c r="F331" s="10"/>
      <c r="G331" s="10"/>
      <c r="H331" s="10"/>
      <c r="I331" s="10"/>
      <c r="J331" s="10"/>
      <c r="K331" s="10"/>
      <c r="L331" s="10"/>
      <c r="M331" s="10"/>
    </row>
    <row r="332" spans="2:13">
      <c r="B332" s="10"/>
      <c r="C332" s="10"/>
      <c r="D332" s="10"/>
      <c r="E332" s="10"/>
      <c r="F332" s="10"/>
      <c r="G332" s="10"/>
      <c r="H332" s="10"/>
      <c r="I332" s="10"/>
      <c r="J332" s="10"/>
      <c r="K332" s="10"/>
      <c r="L332" s="10"/>
      <c r="M332" s="10"/>
    </row>
    <row r="333" spans="2:13">
      <c r="B333" s="10"/>
      <c r="C333" s="10"/>
      <c r="D333" s="10"/>
      <c r="E333" s="10"/>
      <c r="F333" s="10"/>
      <c r="G333" s="10"/>
      <c r="H333" s="10"/>
      <c r="I333" s="10"/>
      <c r="J333" s="10"/>
      <c r="K333" s="10"/>
      <c r="L333" s="10"/>
      <c r="M333" s="10"/>
    </row>
    <row r="334" spans="2:13">
      <c r="B334" s="10"/>
      <c r="C334" s="10"/>
      <c r="D334" s="10"/>
      <c r="E334" s="10"/>
      <c r="F334" s="10"/>
      <c r="G334" s="10"/>
      <c r="H334" s="10"/>
      <c r="I334" s="10"/>
      <c r="J334" s="10"/>
      <c r="K334" s="10"/>
      <c r="L334" s="10"/>
      <c r="M334" s="10"/>
    </row>
    <row r="335" spans="2:13">
      <c r="B335" s="10"/>
      <c r="C335" s="10"/>
      <c r="D335" s="10"/>
      <c r="E335" s="10"/>
      <c r="F335" s="10"/>
      <c r="G335" s="10"/>
      <c r="H335" s="10"/>
      <c r="I335" s="10"/>
      <c r="J335" s="10"/>
      <c r="K335" s="10"/>
      <c r="L335" s="10"/>
      <c r="M335" s="10"/>
    </row>
    <row r="336" spans="2:13">
      <c r="B336" s="10"/>
      <c r="C336" s="10"/>
      <c r="D336" s="10"/>
      <c r="E336" s="10"/>
      <c r="F336" s="10"/>
      <c r="G336" s="10"/>
      <c r="H336" s="10"/>
      <c r="I336" s="10"/>
      <c r="J336" s="10"/>
      <c r="K336" s="10"/>
      <c r="L336" s="10"/>
      <c r="M336" s="10"/>
    </row>
    <row r="337" spans="2:13">
      <c r="B337" s="10"/>
      <c r="C337" s="10"/>
      <c r="D337" s="10"/>
      <c r="E337" s="10"/>
      <c r="F337" s="10"/>
      <c r="G337" s="10"/>
      <c r="H337" s="10"/>
      <c r="I337" s="10"/>
      <c r="J337" s="10"/>
      <c r="K337" s="10"/>
      <c r="L337" s="10"/>
      <c r="M337" s="10"/>
    </row>
    <row r="338" spans="2:13">
      <c r="B338" s="10"/>
      <c r="C338" s="10"/>
      <c r="D338" s="10"/>
      <c r="E338" s="10"/>
      <c r="F338" s="10"/>
      <c r="G338" s="10"/>
      <c r="H338" s="10"/>
      <c r="I338" s="10"/>
      <c r="J338" s="10"/>
      <c r="K338" s="10"/>
      <c r="L338" s="10"/>
      <c r="M338" s="10"/>
    </row>
    <row r="339" spans="2:13">
      <c r="B339" s="10"/>
      <c r="C339" s="10"/>
      <c r="D339" s="10"/>
      <c r="E339" s="10"/>
      <c r="F339" s="10"/>
      <c r="G339" s="10"/>
      <c r="H339" s="10"/>
      <c r="I339" s="10"/>
      <c r="J339" s="10"/>
      <c r="K339" s="10"/>
      <c r="L339" s="10"/>
      <c r="M339" s="10"/>
    </row>
    <row r="340" spans="2:13">
      <c r="B340" s="10"/>
      <c r="C340" s="10"/>
      <c r="D340" s="10"/>
      <c r="E340" s="10"/>
      <c r="F340" s="10"/>
      <c r="G340" s="10"/>
      <c r="H340" s="10"/>
      <c r="I340" s="10"/>
      <c r="J340" s="10"/>
      <c r="K340" s="10"/>
      <c r="L340" s="10"/>
      <c r="M340" s="10"/>
    </row>
    <row r="341" spans="2:13">
      <c r="B341" s="10"/>
      <c r="C341" s="10"/>
      <c r="D341" s="10"/>
      <c r="E341" s="10"/>
      <c r="F341" s="10"/>
      <c r="G341" s="10"/>
      <c r="H341" s="10"/>
      <c r="I341" s="10"/>
      <c r="J341" s="10"/>
      <c r="K341" s="10"/>
      <c r="L341" s="10"/>
      <c r="M341" s="10"/>
    </row>
    <row r="342" spans="2:13">
      <c r="B342" s="10"/>
      <c r="C342" s="10"/>
      <c r="D342" s="10"/>
      <c r="E342" s="10"/>
      <c r="F342" s="10"/>
      <c r="G342" s="10"/>
      <c r="H342" s="10"/>
      <c r="I342" s="10"/>
      <c r="J342" s="10"/>
      <c r="K342" s="10"/>
      <c r="L342" s="10"/>
      <c r="M342" s="10"/>
    </row>
    <row r="343" spans="2:13">
      <c r="B343" s="10"/>
      <c r="C343" s="10"/>
      <c r="D343" s="10"/>
      <c r="E343" s="10"/>
      <c r="F343" s="10"/>
      <c r="G343" s="10"/>
      <c r="H343" s="10"/>
      <c r="I343" s="10"/>
      <c r="J343" s="10"/>
      <c r="K343" s="10"/>
      <c r="L343" s="10"/>
      <c r="M343" s="10"/>
    </row>
    <row r="344" spans="2:13">
      <c r="B344" s="10"/>
      <c r="C344" s="10"/>
      <c r="D344" s="10"/>
      <c r="E344" s="10"/>
      <c r="F344" s="10"/>
      <c r="G344" s="10"/>
      <c r="H344" s="10"/>
      <c r="I344" s="10"/>
      <c r="J344" s="10"/>
      <c r="K344" s="10"/>
      <c r="L344" s="10"/>
      <c r="M344" s="10"/>
    </row>
    <row r="345" spans="2:13">
      <c r="B345" s="10"/>
      <c r="C345" s="10"/>
      <c r="D345" s="10"/>
      <c r="E345" s="10"/>
      <c r="F345" s="10"/>
      <c r="G345" s="10"/>
      <c r="H345" s="10"/>
      <c r="I345" s="10"/>
      <c r="J345" s="10"/>
      <c r="K345" s="10"/>
      <c r="L345" s="10"/>
      <c r="M345" s="10"/>
    </row>
    <row r="346" spans="2:13">
      <c r="B346" s="10"/>
      <c r="C346" s="10"/>
      <c r="D346" s="10"/>
      <c r="E346" s="10"/>
      <c r="F346" s="10"/>
      <c r="G346" s="10"/>
      <c r="H346" s="10"/>
      <c r="I346" s="10"/>
      <c r="J346" s="10"/>
      <c r="K346" s="10"/>
      <c r="L346" s="10"/>
      <c r="M346" s="10"/>
    </row>
    <row r="347" spans="2:13">
      <c r="B347" s="10"/>
      <c r="C347" s="10"/>
      <c r="D347" s="10"/>
      <c r="E347" s="10"/>
      <c r="F347" s="10"/>
      <c r="G347" s="10"/>
      <c r="H347" s="10"/>
      <c r="I347" s="10"/>
      <c r="J347" s="10"/>
      <c r="K347" s="10"/>
      <c r="L347" s="10"/>
      <c r="M347" s="10"/>
    </row>
    <row r="348" spans="2:13">
      <c r="B348" s="10"/>
      <c r="C348" s="10"/>
      <c r="D348" s="10"/>
      <c r="E348" s="10"/>
      <c r="F348" s="10"/>
      <c r="G348" s="10"/>
      <c r="H348" s="10"/>
      <c r="I348" s="10"/>
      <c r="J348" s="10"/>
      <c r="K348" s="10"/>
      <c r="L348" s="10"/>
      <c r="M348" s="10"/>
    </row>
    <row r="349" spans="2:13">
      <c r="B349" s="10"/>
      <c r="C349" s="10"/>
      <c r="D349" s="10"/>
      <c r="E349" s="10"/>
      <c r="F349" s="10"/>
      <c r="G349" s="10"/>
      <c r="H349" s="10"/>
      <c r="I349" s="10"/>
      <c r="J349" s="10"/>
      <c r="K349" s="10"/>
      <c r="L349" s="10"/>
      <c r="M349" s="10"/>
    </row>
    <row r="350" spans="2:13">
      <c r="B350" s="10"/>
      <c r="C350" s="10"/>
      <c r="D350" s="10"/>
      <c r="E350" s="10"/>
      <c r="F350" s="10"/>
      <c r="G350" s="10"/>
      <c r="H350" s="10"/>
      <c r="I350" s="10"/>
      <c r="J350" s="10"/>
      <c r="K350" s="10"/>
      <c r="L350" s="10"/>
      <c r="M350" s="10"/>
    </row>
    <row r="351" spans="2:13">
      <c r="B351" s="10"/>
      <c r="C351" s="10"/>
      <c r="D351" s="10"/>
      <c r="E351" s="10"/>
      <c r="F351" s="10"/>
      <c r="G351" s="10"/>
      <c r="H351" s="10"/>
      <c r="I351" s="10"/>
      <c r="J351" s="10"/>
      <c r="K351" s="10"/>
      <c r="L351" s="10"/>
      <c r="M351" s="10"/>
    </row>
    <row r="352" spans="2:13">
      <c r="B352" s="10"/>
      <c r="C352" s="10"/>
      <c r="D352" s="10"/>
      <c r="E352" s="10"/>
      <c r="F352" s="10"/>
      <c r="G352" s="10"/>
      <c r="H352" s="10"/>
      <c r="I352" s="10"/>
      <c r="J352" s="10"/>
      <c r="K352" s="10"/>
      <c r="L352" s="10"/>
      <c r="M352" s="10"/>
    </row>
    <row r="353" spans="2:13">
      <c r="B353" s="10"/>
      <c r="C353" s="10"/>
      <c r="D353" s="10"/>
      <c r="E353" s="10"/>
      <c r="F353" s="10"/>
      <c r="G353" s="10"/>
      <c r="H353" s="10"/>
      <c r="I353" s="10"/>
      <c r="J353" s="10"/>
      <c r="K353" s="10"/>
      <c r="L353" s="10"/>
      <c r="M353" s="10"/>
    </row>
    <row r="354" spans="2:13">
      <c r="B354" s="10"/>
      <c r="C354" s="10"/>
      <c r="D354" s="10"/>
      <c r="E354" s="10"/>
      <c r="F354" s="10"/>
      <c r="G354" s="10"/>
      <c r="H354" s="10"/>
      <c r="I354" s="10"/>
      <c r="J354" s="10"/>
      <c r="K354" s="10"/>
      <c r="L354" s="10"/>
      <c r="M354" s="10"/>
    </row>
    <row r="355" spans="2:13">
      <c r="B355" s="10"/>
      <c r="C355" s="10"/>
      <c r="D355" s="10"/>
      <c r="E355" s="10"/>
      <c r="F355" s="10"/>
      <c r="G355" s="10"/>
      <c r="H355" s="10"/>
      <c r="I355" s="10"/>
      <c r="J355" s="10"/>
      <c r="K355" s="10"/>
      <c r="L355" s="10"/>
      <c r="M355" s="10"/>
    </row>
    <row r="356" spans="2:13">
      <c r="B356" s="10"/>
      <c r="C356" s="10"/>
      <c r="D356" s="10"/>
      <c r="E356" s="10"/>
      <c r="F356" s="10"/>
      <c r="G356" s="10"/>
      <c r="H356" s="10"/>
      <c r="I356" s="10"/>
      <c r="J356" s="10"/>
      <c r="K356" s="10"/>
      <c r="L356" s="10"/>
      <c r="M356" s="10"/>
    </row>
    <row r="357" spans="2:13">
      <c r="B357" s="10"/>
      <c r="C357" s="10"/>
      <c r="D357" s="10"/>
      <c r="E357" s="10"/>
      <c r="F357" s="10"/>
      <c r="G357" s="10"/>
      <c r="H357" s="10"/>
      <c r="I357" s="10"/>
      <c r="J357" s="10"/>
      <c r="K357" s="10"/>
      <c r="L357" s="10"/>
      <c r="M357" s="10"/>
    </row>
    <row r="358" spans="2:13">
      <c r="B358" s="10"/>
      <c r="C358" s="10"/>
      <c r="D358" s="10"/>
      <c r="E358" s="10"/>
      <c r="F358" s="10"/>
      <c r="G358" s="10"/>
      <c r="H358" s="10"/>
      <c r="I358" s="10"/>
      <c r="J358" s="10"/>
      <c r="K358" s="10"/>
      <c r="L358" s="10"/>
      <c r="M358" s="10"/>
    </row>
    <row r="359" spans="2:13">
      <c r="B359" s="10"/>
      <c r="C359" s="10"/>
      <c r="D359" s="10"/>
      <c r="E359" s="10"/>
      <c r="F359" s="10"/>
      <c r="G359" s="10"/>
      <c r="H359" s="10"/>
      <c r="I359" s="10"/>
      <c r="J359" s="10"/>
      <c r="K359" s="10"/>
      <c r="L359" s="10"/>
      <c r="M359" s="10"/>
    </row>
    <row r="360" spans="2:13">
      <c r="B360" s="10"/>
      <c r="C360" s="10"/>
      <c r="D360" s="10"/>
      <c r="E360" s="10"/>
      <c r="F360" s="10"/>
      <c r="G360" s="10"/>
      <c r="H360" s="10"/>
      <c r="I360" s="10"/>
      <c r="J360" s="10"/>
      <c r="K360" s="10"/>
      <c r="L360" s="10"/>
      <c r="M360" s="10"/>
    </row>
    <row r="361" spans="2:13">
      <c r="B361" s="10"/>
      <c r="C361" s="10"/>
      <c r="D361" s="10"/>
      <c r="E361" s="10"/>
      <c r="F361" s="10"/>
      <c r="G361" s="10"/>
      <c r="H361" s="10"/>
      <c r="I361" s="10"/>
      <c r="J361" s="10"/>
      <c r="K361" s="10"/>
      <c r="L361" s="10"/>
      <c r="M361" s="10"/>
    </row>
    <row r="362" spans="2:13">
      <c r="B362" s="10"/>
      <c r="C362" s="10"/>
      <c r="D362" s="10"/>
      <c r="E362" s="10"/>
      <c r="F362" s="10"/>
      <c r="G362" s="10"/>
      <c r="H362" s="10"/>
      <c r="I362" s="10"/>
      <c r="J362" s="10"/>
      <c r="K362" s="10"/>
      <c r="L362" s="10"/>
      <c r="M362" s="10"/>
    </row>
    <row r="363" spans="2:13">
      <c r="B363" s="10"/>
      <c r="C363" s="10"/>
      <c r="D363" s="10"/>
      <c r="E363" s="10"/>
      <c r="F363" s="10"/>
      <c r="G363" s="10"/>
      <c r="H363" s="10"/>
      <c r="I363" s="10"/>
      <c r="J363" s="10"/>
      <c r="K363" s="10"/>
      <c r="L363" s="10"/>
      <c r="M363" s="10"/>
    </row>
    <row r="364" spans="2:13">
      <c r="B364" s="10"/>
      <c r="C364" s="10"/>
      <c r="D364" s="10"/>
      <c r="E364" s="10"/>
      <c r="F364" s="10"/>
      <c r="G364" s="10"/>
      <c r="H364" s="10"/>
      <c r="I364" s="10"/>
      <c r="J364" s="10"/>
      <c r="K364" s="10"/>
      <c r="L364" s="10"/>
      <c r="M364" s="10"/>
    </row>
    <row r="365" spans="2:13">
      <c r="B365" s="10"/>
      <c r="C365" s="10"/>
      <c r="D365" s="10"/>
      <c r="E365" s="10"/>
      <c r="F365" s="10"/>
      <c r="G365" s="10"/>
      <c r="H365" s="10"/>
      <c r="I365" s="10"/>
      <c r="J365" s="10"/>
      <c r="K365" s="10"/>
      <c r="L365" s="10"/>
      <c r="M365" s="10"/>
    </row>
    <row r="366" spans="2:13">
      <c r="B366" s="10"/>
      <c r="C366" s="10"/>
      <c r="D366" s="10"/>
      <c r="E366" s="10"/>
      <c r="F366" s="10"/>
      <c r="G366" s="10"/>
      <c r="H366" s="10"/>
      <c r="I366" s="10"/>
      <c r="J366" s="10"/>
      <c r="K366" s="10"/>
      <c r="L366" s="10"/>
      <c r="M366" s="10"/>
    </row>
    <row r="367" spans="2:13">
      <c r="B367" s="10"/>
      <c r="C367" s="10"/>
      <c r="D367" s="10"/>
      <c r="E367" s="10"/>
      <c r="F367" s="10"/>
      <c r="G367" s="10"/>
      <c r="H367" s="10"/>
      <c r="I367" s="10"/>
      <c r="J367" s="10"/>
      <c r="K367" s="10"/>
      <c r="L367" s="10"/>
      <c r="M367" s="10"/>
    </row>
    <row r="368" spans="2:13">
      <c r="B368" s="10"/>
      <c r="C368" s="10"/>
      <c r="D368" s="10"/>
      <c r="E368" s="10"/>
      <c r="F368" s="10"/>
      <c r="G368" s="10"/>
      <c r="H368" s="10"/>
      <c r="I368" s="10"/>
      <c r="J368" s="10"/>
      <c r="K368" s="10"/>
      <c r="L368" s="10"/>
      <c r="M368" s="10"/>
    </row>
    <row r="369" spans="2:13">
      <c r="B369" s="10"/>
      <c r="C369" s="10"/>
      <c r="D369" s="10"/>
      <c r="E369" s="10"/>
      <c r="F369" s="10"/>
      <c r="G369" s="10"/>
      <c r="H369" s="10"/>
      <c r="I369" s="10"/>
      <c r="J369" s="10"/>
      <c r="K369" s="10"/>
      <c r="L369" s="10"/>
      <c r="M369" s="10"/>
    </row>
    <row r="370" spans="2:13">
      <c r="B370" s="10"/>
      <c r="C370" s="10"/>
      <c r="D370" s="10"/>
      <c r="E370" s="10"/>
      <c r="F370" s="10"/>
      <c r="G370" s="10"/>
      <c r="H370" s="10"/>
      <c r="I370" s="10"/>
      <c r="J370" s="10"/>
      <c r="K370" s="10"/>
      <c r="L370" s="10"/>
      <c r="M370" s="10"/>
    </row>
    <row r="371" spans="2:13">
      <c r="B371" s="10"/>
      <c r="C371" s="10"/>
      <c r="D371" s="10"/>
      <c r="E371" s="10"/>
      <c r="F371" s="10"/>
      <c r="G371" s="10"/>
      <c r="H371" s="10"/>
      <c r="I371" s="10"/>
      <c r="J371" s="10"/>
      <c r="K371" s="10"/>
      <c r="L371" s="10"/>
      <c r="M371" s="10"/>
    </row>
    <row r="372" spans="2:13">
      <c r="B372" s="10"/>
      <c r="C372" s="10"/>
      <c r="D372" s="10"/>
      <c r="E372" s="10"/>
      <c r="F372" s="10"/>
      <c r="G372" s="10"/>
      <c r="H372" s="10"/>
      <c r="I372" s="10"/>
      <c r="J372" s="10"/>
      <c r="K372" s="10"/>
      <c r="L372" s="10"/>
      <c r="M372" s="10"/>
    </row>
    <row r="373" spans="2:13">
      <c r="B373" s="10"/>
      <c r="C373" s="10"/>
      <c r="D373" s="10"/>
      <c r="E373" s="10"/>
      <c r="F373" s="10"/>
      <c r="G373" s="10"/>
      <c r="H373" s="10"/>
      <c r="I373" s="10"/>
      <c r="J373" s="10"/>
      <c r="K373" s="10"/>
      <c r="L373" s="10"/>
      <c r="M373" s="10"/>
    </row>
    <row r="374" spans="2:13">
      <c r="B374" s="10"/>
      <c r="C374" s="10"/>
      <c r="D374" s="10"/>
      <c r="E374" s="10"/>
      <c r="F374" s="10"/>
      <c r="G374" s="10"/>
      <c r="H374" s="10"/>
      <c r="I374" s="10"/>
      <c r="J374" s="10"/>
      <c r="K374" s="10"/>
      <c r="L374" s="10"/>
      <c r="M374" s="10"/>
    </row>
    <row r="375" spans="2:13">
      <c r="B375" s="10"/>
      <c r="C375" s="10"/>
      <c r="D375" s="10"/>
      <c r="E375" s="10"/>
      <c r="F375" s="10"/>
      <c r="G375" s="10"/>
      <c r="H375" s="10"/>
      <c r="I375" s="10"/>
      <c r="J375" s="10"/>
      <c r="K375" s="10"/>
      <c r="L375" s="10"/>
      <c r="M375" s="10"/>
    </row>
  </sheetData>
  <mergeCells count="378">
    <mergeCell ref="N59:O60"/>
    <mergeCell ref="H43:J43"/>
    <mergeCell ref="H44:J44"/>
    <mergeCell ref="H45:J45"/>
    <mergeCell ref="H46:J46"/>
    <mergeCell ref="H47:J47"/>
    <mergeCell ref="H49:J49"/>
    <mergeCell ref="H53:J53"/>
    <mergeCell ref="H54:J54"/>
    <mergeCell ref="H55:J55"/>
    <mergeCell ref="B29:C32"/>
    <mergeCell ref="D29:G29"/>
    <mergeCell ref="D30:G30"/>
    <mergeCell ref="D31:G31"/>
    <mergeCell ref="D32:G32"/>
    <mergeCell ref="B33:C36"/>
    <mergeCell ref="D33:G33"/>
    <mergeCell ref="B40:C42"/>
    <mergeCell ref="D40:M40"/>
    <mergeCell ref="D41:M41"/>
    <mergeCell ref="D42:M42"/>
    <mergeCell ref="D34:G34"/>
    <mergeCell ref="D35:G35"/>
    <mergeCell ref="D36:G36"/>
    <mergeCell ref="B37:C39"/>
    <mergeCell ref="D37:G37"/>
    <mergeCell ref="D38:G38"/>
    <mergeCell ref="D39:G39"/>
    <mergeCell ref="I29:M32"/>
    <mergeCell ref="I33:M36"/>
    <mergeCell ref="H27:M27"/>
    <mergeCell ref="H23:M23"/>
    <mergeCell ref="H25:M25"/>
    <mergeCell ref="H24:M24"/>
    <mergeCell ref="B118:D118"/>
    <mergeCell ref="C66:G66"/>
    <mergeCell ref="C67:G67"/>
    <mergeCell ref="H66:J66"/>
    <mergeCell ref="H67:J67"/>
    <mergeCell ref="C81:M81"/>
    <mergeCell ref="F47:G48"/>
    <mergeCell ref="H28:M28"/>
    <mergeCell ref="I37:M39"/>
    <mergeCell ref="C88:M88"/>
    <mergeCell ref="D87:M87"/>
    <mergeCell ref="B63:M63"/>
    <mergeCell ref="C78:M78"/>
    <mergeCell ref="C79:M79"/>
    <mergeCell ref="C80:M80"/>
    <mergeCell ref="C82:M82"/>
    <mergeCell ref="D83:M83"/>
    <mergeCell ref="C68:G68"/>
    <mergeCell ref="H68:J68"/>
    <mergeCell ref="K68:L68"/>
    <mergeCell ref="N261:P261"/>
    <mergeCell ref="K275:M275"/>
    <mergeCell ref="B255:G255"/>
    <mergeCell ref="B264:G264"/>
    <mergeCell ref="B265:M265"/>
    <mergeCell ref="B274:M274"/>
    <mergeCell ref="B278:M278"/>
    <mergeCell ref="B260:G260"/>
    <mergeCell ref="B262:G262"/>
    <mergeCell ref="I260:J260"/>
    <mergeCell ref="I275:J275"/>
    <mergeCell ref="K255:M255"/>
    <mergeCell ref="K264:M264"/>
    <mergeCell ref="K260:M260"/>
    <mergeCell ref="B266:G266"/>
    <mergeCell ref="B269:G269"/>
    <mergeCell ref="B270:G270"/>
    <mergeCell ref="B271:G271"/>
    <mergeCell ref="B267:G267"/>
    <mergeCell ref="B268:G268"/>
    <mergeCell ref="B272:G272"/>
    <mergeCell ref="B277:G277"/>
    <mergeCell ref="I277:J277"/>
    <mergeCell ref="K277:M277"/>
    <mergeCell ref="H300:M300"/>
    <mergeCell ref="B301:D301"/>
    <mergeCell ref="B302:D302"/>
    <mergeCell ref="B303:D303"/>
    <mergeCell ref="B123:D123"/>
    <mergeCell ref="I255:J255"/>
    <mergeCell ref="I264:J264"/>
    <mergeCell ref="B114:D114"/>
    <mergeCell ref="B115:D115"/>
    <mergeCell ref="B116:D116"/>
    <mergeCell ref="B117:D117"/>
    <mergeCell ref="B120:D120"/>
    <mergeCell ref="B251:M251"/>
    <mergeCell ref="I252:J252"/>
    <mergeCell ref="K252:M252"/>
    <mergeCell ref="B253:M253"/>
    <mergeCell ref="B254:G254"/>
    <mergeCell ref="I254:J254"/>
    <mergeCell ref="K254:M254"/>
    <mergeCell ref="K263:M263"/>
    <mergeCell ref="B261:G261"/>
    <mergeCell ref="I261:J261"/>
    <mergeCell ref="G243:H243"/>
    <mergeCell ref="G244:H244"/>
    <mergeCell ref="B295:G295"/>
    <mergeCell ref="K295:M295"/>
    <mergeCell ref="K294:M294"/>
    <mergeCell ref="B285:G285"/>
    <mergeCell ref="I285:J285"/>
    <mergeCell ref="B293:M293"/>
    <mergeCell ref="F309:M309"/>
    <mergeCell ref="B95:M95"/>
    <mergeCell ref="B96:M96"/>
    <mergeCell ref="B97:H97"/>
    <mergeCell ref="J97:M98"/>
    <mergeCell ref="B98:H98"/>
    <mergeCell ref="B99:F99"/>
    <mergeCell ref="B100:F100"/>
    <mergeCell ref="B102:F102"/>
    <mergeCell ref="B103:M103"/>
    <mergeCell ref="B304:D304"/>
    <mergeCell ref="B305:D305"/>
    <mergeCell ref="B306:D306"/>
    <mergeCell ref="B307:D307"/>
    <mergeCell ref="B308:D308"/>
    <mergeCell ref="B309:D309"/>
    <mergeCell ref="B299:M299"/>
    <mergeCell ref="B300:D300"/>
    <mergeCell ref="K285:M285"/>
    <mergeCell ref="B290:G290"/>
    <mergeCell ref="I290:J290"/>
    <mergeCell ref="B286:G286"/>
    <mergeCell ref="K290:M290"/>
    <mergeCell ref="B292:G292"/>
    <mergeCell ref="I292:J292"/>
    <mergeCell ref="K292:M292"/>
    <mergeCell ref="B294:G294"/>
    <mergeCell ref="K287:O287"/>
    <mergeCell ref="B284:M284"/>
    <mergeCell ref="B257:G257"/>
    <mergeCell ref="B259:M259"/>
    <mergeCell ref="B263:G263"/>
    <mergeCell ref="I262:J262"/>
    <mergeCell ref="I263:J263"/>
    <mergeCell ref="B258:G258"/>
    <mergeCell ref="B276:G276"/>
    <mergeCell ref="B282:G282"/>
    <mergeCell ref="I282:J282"/>
    <mergeCell ref="K282:M282"/>
    <mergeCell ref="B280:G280"/>
    <mergeCell ref="B283:G283"/>
    <mergeCell ref="K283:M283"/>
    <mergeCell ref="K276:M276"/>
    <mergeCell ref="B273:G273"/>
    <mergeCell ref="I273:J273"/>
    <mergeCell ref="K273:M273"/>
    <mergeCell ref="B231:M231"/>
    <mergeCell ref="B232:F232"/>
    <mergeCell ref="G245:H245"/>
    <mergeCell ref="G246:H246"/>
    <mergeCell ref="I232:M232"/>
    <mergeCell ref="G232:H232"/>
    <mergeCell ref="G238:H238"/>
    <mergeCell ref="B281:M281"/>
    <mergeCell ref="B275:G275"/>
    <mergeCell ref="B279:G279"/>
    <mergeCell ref="G239:H239"/>
    <mergeCell ref="G240:H240"/>
    <mergeCell ref="G241:H241"/>
    <mergeCell ref="G242:H242"/>
    <mergeCell ref="B234:E234"/>
    <mergeCell ref="B235:E235"/>
    <mergeCell ref="B236:E236"/>
    <mergeCell ref="B237:E237"/>
    <mergeCell ref="B238:E238"/>
    <mergeCell ref="B239:E239"/>
    <mergeCell ref="B240:E240"/>
    <mergeCell ref="B241:E241"/>
    <mergeCell ref="B242:E242"/>
    <mergeCell ref="B233:E233"/>
    <mergeCell ref="G233:H233"/>
    <mergeCell ref="G234:H234"/>
    <mergeCell ref="G235:H235"/>
    <mergeCell ref="G236:H236"/>
    <mergeCell ref="G237:H237"/>
    <mergeCell ref="I256:J256"/>
    <mergeCell ref="K262:M262"/>
    <mergeCell ref="B256:G256"/>
    <mergeCell ref="B243:E243"/>
    <mergeCell ref="B244:E244"/>
    <mergeCell ref="B245:E245"/>
    <mergeCell ref="B246:E246"/>
    <mergeCell ref="H215:I215"/>
    <mergeCell ref="N212:N215"/>
    <mergeCell ref="B195:F195"/>
    <mergeCell ref="G195:H195"/>
    <mergeCell ref="B210:M210"/>
    <mergeCell ref="B212:C212"/>
    <mergeCell ref="H212:J212"/>
    <mergeCell ref="H213:I213"/>
    <mergeCell ref="H214:I214"/>
    <mergeCell ref="B200:F200"/>
    <mergeCell ref="B201:F201"/>
    <mergeCell ref="B202:F202"/>
    <mergeCell ref="B203:F203"/>
    <mergeCell ref="B205:F205"/>
    <mergeCell ref="D212:E212"/>
    <mergeCell ref="B199:F199"/>
    <mergeCell ref="G199:H199"/>
    <mergeCell ref="B204:F204"/>
    <mergeCell ref="B194:F194"/>
    <mergeCell ref="B196:F196"/>
    <mergeCell ref="B197:F197"/>
    <mergeCell ref="B198:F198"/>
    <mergeCell ref="B188:F188"/>
    <mergeCell ref="B193:F193"/>
    <mergeCell ref="B175:F175"/>
    <mergeCell ref="B176:M176"/>
    <mergeCell ref="B177:F177"/>
    <mergeCell ref="B178:F178"/>
    <mergeCell ref="B179:F179"/>
    <mergeCell ref="B180:F180"/>
    <mergeCell ref="B189:F189"/>
    <mergeCell ref="B190:F190"/>
    <mergeCell ref="B191:F191"/>
    <mergeCell ref="B192:F192"/>
    <mergeCell ref="B181:F181"/>
    <mergeCell ref="B182:F182"/>
    <mergeCell ref="B183:F183"/>
    <mergeCell ref="B184:F184"/>
    <mergeCell ref="B185:F185"/>
    <mergeCell ref="B186:M186"/>
    <mergeCell ref="B187:F187"/>
    <mergeCell ref="G187:H187"/>
    <mergeCell ref="B169:F169"/>
    <mergeCell ref="B170:F170"/>
    <mergeCell ref="B172:F172"/>
    <mergeCell ref="B173:F173"/>
    <mergeCell ref="B174:F174"/>
    <mergeCell ref="H170:M170"/>
    <mergeCell ref="B163:F163"/>
    <mergeCell ref="B164:F164"/>
    <mergeCell ref="B165:F165"/>
    <mergeCell ref="B166:F166"/>
    <mergeCell ref="B167:F167"/>
    <mergeCell ref="B168:F168"/>
    <mergeCell ref="B171:F171"/>
    <mergeCell ref="B157:M157"/>
    <mergeCell ref="B159:F159"/>
    <mergeCell ref="B160:F160"/>
    <mergeCell ref="B161:F161"/>
    <mergeCell ref="B162:F162"/>
    <mergeCell ref="B155:F155"/>
    <mergeCell ref="H155:I155"/>
    <mergeCell ref="K155:L155"/>
    <mergeCell ref="B156:F156"/>
    <mergeCell ref="H156:I156"/>
    <mergeCell ref="K156:M156"/>
    <mergeCell ref="B158:F158"/>
    <mergeCell ref="B153:F153"/>
    <mergeCell ref="B154:F154"/>
    <mergeCell ref="B143:F143"/>
    <mergeCell ref="B144:F144"/>
    <mergeCell ref="B145:F145"/>
    <mergeCell ref="B146:F146"/>
    <mergeCell ref="B147:F147"/>
    <mergeCell ref="H153:I153"/>
    <mergeCell ref="K153:L153"/>
    <mergeCell ref="H154:I154"/>
    <mergeCell ref="K154:L154"/>
    <mergeCell ref="B151:M151"/>
    <mergeCell ref="B152:G152"/>
    <mergeCell ref="H152:J152"/>
    <mergeCell ref="K152:M152"/>
    <mergeCell ref="D86:M86"/>
    <mergeCell ref="B139:F139"/>
    <mergeCell ref="B140:F140"/>
    <mergeCell ref="B141:F141"/>
    <mergeCell ref="B142:F142"/>
    <mergeCell ref="B132:F132"/>
    <mergeCell ref="B134:F134"/>
    <mergeCell ref="B135:F135"/>
    <mergeCell ref="B136:F136"/>
    <mergeCell ref="B137:F137"/>
    <mergeCell ref="B138:F138"/>
    <mergeCell ref="B133:F133"/>
    <mergeCell ref="B121:D121"/>
    <mergeCell ref="B119:D119"/>
    <mergeCell ref="B101:F101"/>
    <mergeCell ref="D85:M85"/>
    <mergeCell ref="B129:M129"/>
    <mergeCell ref="B131:F131"/>
    <mergeCell ref="O69:O71"/>
    <mergeCell ref="C70:G70"/>
    <mergeCell ref="H70:J70"/>
    <mergeCell ref="K70:L70"/>
    <mergeCell ref="C71:G71"/>
    <mergeCell ref="H71:J71"/>
    <mergeCell ref="K71:L71"/>
    <mergeCell ref="B108:D108"/>
    <mergeCell ref="B109:D109"/>
    <mergeCell ref="B110:D110"/>
    <mergeCell ref="B111:D111"/>
    <mergeCell ref="B112:D112"/>
    <mergeCell ref="B113:D113"/>
    <mergeCell ref="N103:R103"/>
    <mergeCell ref="B104:E104"/>
    <mergeCell ref="G104:M104"/>
    <mergeCell ref="B105:D105"/>
    <mergeCell ref="B106:D106"/>
    <mergeCell ref="B107:D107"/>
    <mergeCell ref="B122:D122"/>
    <mergeCell ref="D84:M84"/>
    <mergeCell ref="C62:G62"/>
    <mergeCell ref="H62:I62"/>
    <mergeCell ref="B76:M76"/>
    <mergeCell ref="C77:M77"/>
    <mergeCell ref="B55:D55"/>
    <mergeCell ref="F55:G55"/>
    <mergeCell ref="B57:M57"/>
    <mergeCell ref="C58:L58"/>
    <mergeCell ref="B59:M59"/>
    <mergeCell ref="H69:J69"/>
    <mergeCell ref="K69:L69"/>
    <mergeCell ref="C64:G64"/>
    <mergeCell ref="H64:J64"/>
    <mergeCell ref="K64:L64"/>
    <mergeCell ref="C65:G65"/>
    <mergeCell ref="H65:J65"/>
    <mergeCell ref="K65:L65"/>
    <mergeCell ref="C69:G69"/>
    <mergeCell ref="B44:D44"/>
    <mergeCell ref="F44:G44"/>
    <mergeCell ref="B45:D45"/>
    <mergeCell ref="F45:G45"/>
    <mergeCell ref="F49:G49"/>
    <mergeCell ref="B53:D53"/>
    <mergeCell ref="F53:G53"/>
    <mergeCell ref="B46:D46"/>
    <mergeCell ref="F46:G46"/>
    <mergeCell ref="B2:G4"/>
    <mergeCell ref="J3:M7"/>
    <mergeCell ref="B5:G7"/>
    <mergeCell ref="U1:AC2"/>
    <mergeCell ref="U4:AC5"/>
    <mergeCell ref="B21:M21"/>
    <mergeCell ref="AD11:AK12"/>
    <mergeCell ref="B11:M11"/>
    <mergeCell ref="B12:M12"/>
    <mergeCell ref="B13:M13"/>
    <mergeCell ref="B14:M14"/>
    <mergeCell ref="B15:M15"/>
    <mergeCell ref="B16:M16"/>
    <mergeCell ref="B17:M17"/>
    <mergeCell ref="B9:M9"/>
    <mergeCell ref="AD5:AK7"/>
    <mergeCell ref="N29:N30"/>
    <mergeCell ref="B56:D56"/>
    <mergeCell ref="C60:L60"/>
    <mergeCell ref="B211:M211"/>
    <mergeCell ref="K213:L213"/>
    <mergeCell ref="K214:L214"/>
    <mergeCell ref="K212:M212"/>
    <mergeCell ref="F212:G212"/>
    <mergeCell ref="B22:F22"/>
    <mergeCell ref="G22:M22"/>
    <mergeCell ref="B23:F23"/>
    <mergeCell ref="B24:F24"/>
    <mergeCell ref="B25:F25"/>
    <mergeCell ref="B43:D43"/>
    <mergeCell ref="F43:G43"/>
    <mergeCell ref="B26:F26"/>
    <mergeCell ref="H26:M26"/>
    <mergeCell ref="B27:F27"/>
    <mergeCell ref="B28:F28"/>
    <mergeCell ref="B54:D54"/>
    <mergeCell ref="F54:G54"/>
    <mergeCell ref="B47:D47"/>
    <mergeCell ref="B48:D48"/>
    <mergeCell ref="B61:M61"/>
  </mergeCells>
  <conditionalFormatting sqref="B78:B85">
    <cfRule type="containsText" dxfId="275" priority="68" operator="containsText" text="oui">
      <formula>NOT(ISERROR(SEARCH("oui",B78)))</formula>
    </cfRule>
  </conditionalFormatting>
  <conditionalFormatting sqref="B85">
    <cfRule type="expression" dxfId="274" priority="66">
      <formula>$D$85=""</formula>
    </cfRule>
  </conditionalFormatting>
  <conditionalFormatting sqref="B87">
    <cfRule type="containsText" dxfId="273" priority="67" operator="containsText" text="oui">
      <formula>NOT(ISERROR(SEARCH("oui",B87)))</formula>
    </cfRule>
  </conditionalFormatting>
  <conditionalFormatting sqref="B214:C214">
    <cfRule type="expression" dxfId="272" priority="2">
      <formula>$C$214="non"</formula>
    </cfRule>
  </conditionalFormatting>
  <conditionalFormatting sqref="B273:G273 I273:M273">
    <cfRule type="expression" dxfId="271" priority="17">
      <formula>duree_nappe&gt;1000</formula>
    </cfRule>
  </conditionalFormatting>
  <conditionalFormatting sqref="B157:M169 B170:H170 B171:M175">
    <cfRule type="expression" dxfId="270" priority="8">
      <formula>$G$153="non"</formula>
    </cfRule>
  </conditionalFormatting>
  <conditionalFormatting sqref="B176:M185">
    <cfRule type="expression" dxfId="269" priority="7">
      <formula>$G$154="non"</formula>
    </cfRule>
  </conditionalFormatting>
  <conditionalFormatting sqref="B186:M186 B187:H187 J187:M187 B188:M194 B195:H195 J195:M195 B196:M205">
    <cfRule type="expression" dxfId="268" priority="6">
      <formula>AND($G$155="non",$G$156="non")</formula>
    </cfRule>
  </conditionalFormatting>
  <conditionalFormatting sqref="B188:M194">
    <cfRule type="expression" dxfId="267" priority="10">
      <formula>$I$187="non"</formula>
    </cfRule>
  </conditionalFormatting>
  <conditionalFormatting sqref="B196:M198">
    <cfRule type="expression" dxfId="266" priority="9">
      <formula>$I$195="non"</formula>
    </cfRule>
  </conditionalFormatting>
  <conditionalFormatting sqref="B255:M255">
    <cfRule type="expression" dxfId="265" priority="63">
      <formula>AND(sous_sol="oui",m_naturels="oui")</formula>
    </cfRule>
  </conditionalFormatting>
  <conditionalFormatting sqref="B264:M264">
    <cfRule type="expression" dxfId="264" priority="18">
      <formula>$H$264="oui"</formula>
    </cfRule>
  </conditionalFormatting>
  <conditionalFormatting sqref="B277:M277">
    <cfRule type="expression" dxfId="263" priority="13">
      <formula>$H$277="oui"</formula>
    </cfRule>
  </conditionalFormatting>
  <conditionalFormatting sqref="B279:M279">
    <cfRule type="expression" dxfId="262" priority="78">
      <formula>OR($H$279=bat_1,$H$279=bat_2)</formula>
    </cfRule>
  </conditionalFormatting>
  <conditionalFormatting sqref="B294:M294">
    <cfRule type="expression" dxfId="261" priority="12">
      <formula>OR($H$294="Prestataire",$H$294="MO")</formula>
    </cfRule>
  </conditionalFormatting>
  <conditionalFormatting sqref="B295:M295">
    <cfRule type="expression" dxfId="260" priority="11">
      <formula>$H$295="oui"</formula>
    </cfRule>
  </conditionalFormatting>
  <conditionalFormatting sqref="B122:R122">
    <cfRule type="expression" dxfId="259" priority="4">
      <formula>$G$100:$R$100="logement"</formula>
    </cfRule>
  </conditionalFormatting>
  <conditionalFormatting sqref="F301:F308">
    <cfRule type="colorScale" priority="64">
      <colorScale>
        <cfvo type="min"/>
        <cfvo type="max"/>
        <color theme="8" tint="0.79998168889431442"/>
        <color theme="8"/>
      </colorScale>
    </cfRule>
  </conditionalFormatting>
  <conditionalFormatting sqref="G116:G117">
    <cfRule type="expression" dxfId="258" priority="5">
      <formula>$G$102="Neuf"</formula>
    </cfRule>
  </conditionalFormatting>
  <conditionalFormatting sqref="H26">
    <cfRule type="expression" dxfId="257" priority="74">
      <formula>$H$27&lt;&gt;""</formula>
    </cfRule>
  </conditionalFormatting>
  <conditionalFormatting sqref="H273">
    <cfRule type="expression" dxfId="256" priority="15">
      <formula>$H$264="oui"</formula>
    </cfRule>
  </conditionalFormatting>
  <conditionalFormatting sqref="H285:H289">
    <cfRule type="containsText" dxfId="255" priority="29" operator="containsText" text="oui">
      <formula>NOT(ISERROR(SEARCH("oui",H285)))</formula>
    </cfRule>
  </conditionalFormatting>
  <conditionalFormatting sqref="K212:M214">
    <cfRule type="expression" dxfId="254" priority="1">
      <formula>ch_nappe&lt;&gt;TRUE</formula>
    </cfRule>
  </conditionalFormatting>
  <dataValidations count="13">
    <dataValidation type="list" allowBlank="1" showInputMessage="1" sqref="I133">
      <formula1>INDIRECT("B_ouinon[Oui/non]")</formula1>
    </dataValidation>
    <dataValidation type="list" allowBlank="1" showInputMessage="1" showErrorMessage="1" sqref="G301:G308">
      <formula1>INDIRECT("etapesdossier[Etapes_dossier]")</formula1>
    </dataValidation>
    <dataValidation type="list" allowBlank="1" showInputMessage="1" sqref="G102:R102">
      <formula1>INDIRECT("B_neufexistant[Neuf/Existant]")</formula1>
    </dataValidation>
    <dataValidation type="list" allowBlank="1" showInputMessage="1" sqref="G100:R101">
      <formula1>INDIRECT("G_typebatiment[Type bâtiment]")</formula1>
    </dataValidation>
    <dataValidation type="list" allowBlank="1" showInputMessage="1" sqref="H294">
      <formula1>"MO, Prestataire, non connu"</formula1>
    </dataValidation>
    <dataValidation type="list" allowBlank="1" showInputMessage="1" sqref="H279">
      <formula1>INDIRECT("G_bat[Bâtiments géocooling]")</formula1>
    </dataValidation>
    <dataValidation type="list" allowBlank="1" showInputMessage="1" showErrorMessage="1" sqref="G118:R119 I187 C213:C216 H168 E213:E218 G213:G216 I195">
      <formula1>INDIRECT("G_ouinon[Oui/non]")</formula1>
    </dataValidation>
    <dataValidation type="list" allowBlank="1" showInputMessage="1" sqref="G132:H133 I132">
      <formula1>"PAC double service, PAC réversible, PAC gaz, autre"</formula1>
    </dataValidation>
    <dataValidation type="list" allowBlank="1" showInputMessage="1" sqref="G147:I147">
      <formula1>"Gaz, Fioul, Electricité, Solaire, biomasse, autre?"</formula1>
    </dataValidation>
    <dataValidation type="list" allowBlank="1" showInputMessage="1" showErrorMessage="1" errorTitle="Attention" error="La méthode de calcul de la consommation énergétique doit être soit DPE soit THCE EX" sqref="H122:R122">
      <formula1>"DPE,THCE Ex"</formula1>
    </dataValidation>
    <dataValidation type="list" allowBlank="1" showInputMessage="1" showErrorMessage="1" errorTitle="Attention" error="La méthode de calcul de la consommation énergétique doit être soit DPE soit THCE EX" sqref="G122">
      <formula1>"DPE,THCE Ex (obligatoire pour les rénovations soumises à la réglementation)"</formula1>
    </dataValidation>
    <dataValidation type="list" allowBlank="1" showInputMessage="1" showErrorMessage="1" sqref="K44:K56">
      <formula1>INDIRECT("G_referent[Referent]")</formula1>
    </dataValidation>
    <dataValidation type="list" allowBlank="1" showInputMessage="1" sqref="B78:B87">
      <formula1>INDIRECT("G_ouinonconcerne[Oui/non concerne]")</formula1>
    </dataValidation>
  </dataValidations>
  <hyperlinks>
    <hyperlink ref="B9:C9" location="'Fiche projet biomasse'!B17" display="1 - Présentation du projet"/>
    <hyperlink ref="B254:G254" r:id="rId1" display="Cette instllation ne concerne pas le(s) remplacement(s) de PAC en raison de l'interdiction d'utilisation de certains fluides frigorigènes encadrés par le code de l'environnement (non éligible car respect de la réglementation) ."/>
    <hyperlink ref="C79:M79" r:id="rId2" display="http://www.geothermie-perspectives.fr/"/>
  </hyperlinks>
  <pageMargins left="0.7" right="0.7" top="0.75" bottom="0.75" header="0.3" footer="0.3"/>
  <pageSetup paperSize="9" orientation="portrait" r:id="rId3"/>
  <ignoredErrors>
    <ignoredError sqref="G154"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51261" r:id="rId6" name="Check Box 61">
              <controlPr defaultSize="0" autoFill="0" autoLine="0" autoPict="0">
                <anchor moveWithCells="1">
                  <from>
                    <xdr:col>7</xdr:col>
                    <xdr:colOff>502920</xdr:colOff>
                    <xdr:row>29</xdr:row>
                    <xdr:rowOff>0</xdr:rowOff>
                  </from>
                  <to>
                    <xdr:col>7</xdr:col>
                    <xdr:colOff>754380</xdr:colOff>
                    <xdr:row>29</xdr:row>
                    <xdr:rowOff>228600</xdr:rowOff>
                  </to>
                </anchor>
              </controlPr>
            </control>
          </mc:Choice>
        </mc:AlternateContent>
        <mc:AlternateContent xmlns:mc="http://schemas.openxmlformats.org/markup-compatibility/2006">
          <mc:Choice Requires="x14">
            <control shapeId="51382" r:id="rId7" name="Check Box 182">
              <controlPr defaultSize="0" autoFill="0" autoLine="0" autoPict="0">
                <anchor moveWithCells="1">
                  <from>
                    <xdr:col>7</xdr:col>
                    <xdr:colOff>502920</xdr:colOff>
                    <xdr:row>28</xdr:row>
                    <xdr:rowOff>0</xdr:rowOff>
                  </from>
                  <to>
                    <xdr:col>7</xdr:col>
                    <xdr:colOff>754380</xdr:colOff>
                    <xdr:row>28</xdr:row>
                    <xdr:rowOff>228600</xdr:rowOff>
                  </to>
                </anchor>
              </controlPr>
            </control>
          </mc:Choice>
        </mc:AlternateContent>
        <mc:AlternateContent xmlns:mc="http://schemas.openxmlformats.org/markup-compatibility/2006">
          <mc:Choice Requires="x14">
            <control shapeId="51383" r:id="rId8" name="Check Box 183">
              <controlPr defaultSize="0" autoFill="0" autoLine="0" autoPict="0">
                <anchor moveWithCells="1">
                  <from>
                    <xdr:col>7</xdr:col>
                    <xdr:colOff>502920</xdr:colOff>
                    <xdr:row>30</xdr:row>
                    <xdr:rowOff>0</xdr:rowOff>
                  </from>
                  <to>
                    <xdr:col>7</xdr:col>
                    <xdr:colOff>754380</xdr:colOff>
                    <xdr:row>30</xdr:row>
                    <xdr:rowOff>228600</xdr:rowOff>
                  </to>
                </anchor>
              </controlPr>
            </control>
          </mc:Choice>
        </mc:AlternateContent>
        <mc:AlternateContent xmlns:mc="http://schemas.openxmlformats.org/markup-compatibility/2006">
          <mc:Choice Requires="x14">
            <control shapeId="51388" r:id="rId9" name="Check Box 188">
              <controlPr defaultSize="0" autoFill="0" autoLine="0" autoPict="0">
                <anchor moveWithCells="1">
                  <from>
                    <xdr:col>7</xdr:col>
                    <xdr:colOff>502920</xdr:colOff>
                    <xdr:row>35</xdr:row>
                    <xdr:rowOff>0</xdr:rowOff>
                  </from>
                  <to>
                    <xdr:col>7</xdr:col>
                    <xdr:colOff>754380</xdr:colOff>
                    <xdr:row>35</xdr:row>
                    <xdr:rowOff>228600</xdr:rowOff>
                  </to>
                </anchor>
              </controlPr>
            </control>
          </mc:Choice>
        </mc:AlternateContent>
        <mc:AlternateContent xmlns:mc="http://schemas.openxmlformats.org/markup-compatibility/2006">
          <mc:Choice Requires="x14">
            <control shapeId="51389" r:id="rId10" name="Check Box 189">
              <controlPr defaultSize="0" autoFill="0" autoLine="0" autoPict="0">
                <anchor moveWithCells="1">
                  <from>
                    <xdr:col>7</xdr:col>
                    <xdr:colOff>502920</xdr:colOff>
                    <xdr:row>36</xdr:row>
                    <xdr:rowOff>0</xdr:rowOff>
                  </from>
                  <to>
                    <xdr:col>7</xdr:col>
                    <xdr:colOff>754380</xdr:colOff>
                    <xdr:row>36</xdr:row>
                    <xdr:rowOff>228600</xdr:rowOff>
                  </to>
                </anchor>
              </controlPr>
            </control>
          </mc:Choice>
        </mc:AlternateContent>
        <mc:AlternateContent xmlns:mc="http://schemas.openxmlformats.org/markup-compatibility/2006">
          <mc:Choice Requires="x14">
            <control shapeId="51390" r:id="rId11" name="Check Box 190">
              <controlPr defaultSize="0" autoFill="0" autoLine="0" autoPict="0">
                <anchor moveWithCells="1">
                  <from>
                    <xdr:col>7</xdr:col>
                    <xdr:colOff>502920</xdr:colOff>
                    <xdr:row>37</xdr:row>
                    <xdr:rowOff>0</xdr:rowOff>
                  </from>
                  <to>
                    <xdr:col>7</xdr:col>
                    <xdr:colOff>754380</xdr:colOff>
                    <xdr:row>37</xdr:row>
                    <xdr:rowOff>228600</xdr:rowOff>
                  </to>
                </anchor>
              </controlPr>
            </control>
          </mc:Choice>
        </mc:AlternateContent>
        <mc:AlternateContent xmlns:mc="http://schemas.openxmlformats.org/markup-compatibility/2006">
          <mc:Choice Requires="x14">
            <control shapeId="51391" r:id="rId12" name="Check Box 191">
              <controlPr defaultSize="0" autoFill="0" autoLine="0" autoPict="0">
                <anchor moveWithCells="1">
                  <from>
                    <xdr:col>7</xdr:col>
                    <xdr:colOff>502920</xdr:colOff>
                    <xdr:row>38</xdr:row>
                    <xdr:rowOff>0</xdr:rowOff>
                  </from>
                  <to>
                    <xdr:col>7</xdr:col>
                    <xdr:colOff>754380</xdr:colOff>
                    <xdr:row>38</xdr:row>
                    <xdr:rowOff>228600</xdr:rowOff>
                  </to>
                </anchor>
              </controlPr>
            </control>
          </mc:Choice>
        </mc:AlternateContent>
        <mc:AlternateContent xmlns:mc="http://schemas.openxmlformats.org/markup-compatibility/2006">
          <mc:Choice Requires="x14">
            <control shapeId="51392" r:id="rId13" name="Check Box 192">
              <controlPr defaultSize="0" autoFill="0" autoLine="0" autoPict="0">
                <anchor moveWithCells="1">
                  <from>
                    <xdr:col>7</xdr:col>
                    <xdr:colOff>502920</xdr:colOff>
                    <xdr:row>31</xdr:row>
                    <xdr:rowOff>0</xdr:rowOff>
                  </from>
                  <to>
                    <xdr:col>7</xdr:col>
                    <xdr:colOff>754380</xdr:colOff>
                    <xdr:row>31</xdr:row>
                    <xdr:rowOff>228600</xdr:rowOff>
                  </to>
                </anchor>
              </controlPr>
            </control>
          </mc:Choice>
        </mc:AlternateContent>
        <mc:AlternateContent xmlns:mc="http://schemas.openxmlformats.org/markup-compatibility/2006">
          <mc:Choice Requires="x14">
            <control shapeId="51393" r:id="rId14" name="Check Box 193">
              <controlPr defaultSize="0" autoFill="0" autoLine="0" autoPict="0">
                <anchor moveWithCells="1">
                  <from>
                    <xdr:col>7</xdr:col>
                    <xdr:colOff>502920</xdr:colOff>
                    <xdr:row>32</xdr:row>
                    <xdr:rowOff>0</xdr:rowOff>
                  </from>
                  <to>
                    <xdr:col>7</xdr:col>
                    <xdr:colOff>754380</xdr:colOff>
                    <xdr:row>32</xdr:row>
                    <xdr:rowOff>228600</xdr:rowOff>
                  </to>
                </anchor>
              </controlPr>
            </control>
          </mc:Choice>
        </mc:AlternateContent>
        <mc:AlternateContent xmlns:mc="http://schemas.openxmlformats.org/markup-compatibility/2006">
          <mc:Choice Requires="x14">
            <control shapeId="51394" r:id="rId15" name="Check Box 194">
              <controlPr defaultSize="0" autoFill="0" autoLine="0" autoPict="0">
                <anchor moveWithCells="1">
                  <from>
                    <xdr:col>7</xdr:col>
                    <xdr:colOff>502920</xdr:colOff>
                    <xdr:row>33</xdr:row>
                    <xdr:rowOff>0</xdr:rowOff>
                  </from>
                  <to>
                    <xdr:col>7</xdr:col>
                    <xdr:colOff>754380</xdr:colOff>
                    <xdr:row>33</xdr:row>
                    <xdr:rowOff>228600</xdr:rowOff>
                  </to>
                </anchor>
              </controlPr>
            </control>
          </mc:Choice>
        </mc:AlternateContent>
        <mc:AlternateContent xmlns:mc="http://schemas.openxmlformats.org/markup-compatibility/2006">
          <mc:Choice Requires="x14">
            <control shapeId="51395" r:id="rId16" name="Check Box 195">
              <controlPr defaultSize="0" autoFill="0" autoLine="0" autoPict="0">
                <anchor moveWithCells="1">
                  <from>
                    <xdr:col>7</xdr:col>
                    <xdr:colOff>502920</xdr:colOff>
                    <xdr:row>34</xdr:row>
                    <xdr:rowOff>0</xdr:rowOff>
                  </from>
                  <to>
                    <xdr:col>7</xdr:col>
                    <xdr:colOff>754380</xdr:colOff>
                    <xdr:row>34</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[11]menus!#REF!</xm:f>
          </x14:formula1>
          <xm:sqref>J213:J215 L138:N138 N127 N144 N142 N146 M213:M214 F150:M150 N140 N148:N149 N129 N131 N134 N136</xm:sqref>
        </x14:dataValidation>
        <x14:dataValidation type="list" allowBlank="1" showInputMessage="1">
          <x14:formula1>
            <xm:f>'menus geothermie'!$C$7:$C$9</xm:f>
          </x14:formula1>
          <xm:sqref>G27 E44:E56</xm:sqref>
        </x14:dataValidation>
        <x14:dataValidation type="list" allowBlank="1" showInputMessage="1" showErrorMessage="1">
          <x14:formula1>
            <xm:f>'menus geothermie'!$V$6:$V$11</xm:f>
          </x14:formula1>
          <xm:sqref>G28</xm:sqref>
        </x14:dataValidation>
        <x14:dataValidation type="list" allowBlank="1" showInputMessage="1">
          <x14:formula1>
            <xm:f>'[12]menus biomasse'!#REF!</xm:f>
          </x14:formula1>
          <xm:sqref>H266:H272 H285:H289 H280 H275:H276 H260:H263 H256:H258 H254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theme="9" tint="-0.249977111117893"/>
  </sheetPr>
  <dimension ref="A1:AS390"/>
  <sheetViews>
    <sheetView topLeftCell="C316" zoomScale="55" zoomScaleNormal="55" workbookViewId="0">
      <selection activeCell="G148" sqref="G148"/>
    </sheetView>
  </sheetViews>
  <sheetFormatPr defaultColWidth="11.44140625" defaultRowHeight="14.4"/>
  <cols>
    <col min="1" max="1" width="26.88671875" style="1308" customWidth="1"/>
    <col min="2" max="2" width="62.88671875" style="1317" customWidth="1"/>
    <col min="3" max="3" width="48.109375" style="1317" customWidth="1"/>
    <col min="4" max="4" width="57.6640625" style="1317" customWidth="1"/>
    <col min="5" max="5" width="25.109375" style="1317" customWidth="1"/>
    <col min="6" max="6" width="33.44140625" style="1317" customWidth="1"/>
    <col min="7" max="7" width="32.6640625" style="1317" customWidth="1"/>
    <col min="8" max="8" width="37.5546875" style="1317" customWidth="1"/>
    <col min="9" max="9" width="32.5546875" style="1317" customWidth="1"/>
    <col min="10" max="10" width="24.6640625" style="1317" customWidth="1"/>
    <col min="11" max="11" width="36.33203125" style="1317" customWidth="1"/>
    <col min="12" max="12" width="35.6640625" style="1317" customWidth="1"/>
    <col min="13" max="13" width="38.33203125" style="1317" customWidth="1"/>
    <col min="14" max="14" width="33.6640625" style="1316" customWidth="1"/>
    <col min="15" max="15" width="15.44140625" style="1316" customWidth="1"/>
    <col min="16" max="18" width="11.44140625" style="1316" customWidth="1"/>
    <col min="19" max="19" width="11.44140625" style="1308" customWidth="1"/>
    <col min="20" max="20" width="29.44140625" style="1308" customWidth="1"/>
    <col min="21" max="21" width="11.44140625" style="1324"/>
    <col min="22" max="16384" width="11.44140625" style="1317"/>
  </cols>
  <sheetData>
    <row r="1" spans="2:37" ht="22.2" thickBot="1">
      <c r="B1" s="1309" t="s">
        <v>181</v>
      </c>
      <c r="C1" s="1310"/>
      <c r="D1" s="1311" t="s">
        <v>367</v>
      </c>
      <c r="E1" s="1310"/>
      <c r="F1" s="1312"/>
      <c r="G1" s="1312"/>
      <c r="H1" s="1313"/>
      <c r="I1" s="1313"/>
      <c r="J1" s="1313"/>
      <c r="K1" s="1313"/>
      <c r="L1" s="1314"/>
      <c r="M1" s="1315"/>
      <c r="U1" s="2734" t="s">
        <v>368</v>
      </c>
      <c r="V1" s="2735"/>
      <c r="W1" s="2735"/>
      <c r="X1" s="2735"/>
      <c r="Y1" s="2735"/>
      <c r="Z1" s="2735"/>
      <c r="AA1" s="2735"/>
      <c r="AB1" s="2735"/>
      <c r="AC1" s="2735"/>
    </row>
    <row r="2" spans="2:37" ht="16.2">
      <c r="B2" s="2736" t="s">
        <v>1130</v>
      </c>
      <c r="C2" s="2737"/>
      <c r="D2" s="2737"/>
      <c r="E2" s="2737"/>
      <c r="F2" s="2737"/>
      <c r="G2" s="2737"/>
      <c r="H2" s="1318"/>
      <c r="I2" s="1319"/>
      <c r="J2" s="1319"/>
      <c r="K2" s="1319"/>
      <c r="L2" s="1320"/>
      <c r="M2" s="1321"/>
      <c r="U2" s="2734"/>
      <c r="V2" s="2735"/>
      <c r="W2" s="2735"/>
      <c r="X2" s="2735"/>
      <c r="Y2" s="2735"/>
      <c r="Z2" s="2735"/>
      <c r="AA2" s="2735"/>
      <c r="AB2" s="2735"/>
      <c r="AC2" s="2735"/>
    </row>
    <row r="3" spans="2:37">
      <c r="B3" s="2738"/>
      <c r="C3" s="2739"/>
      <c r="D3" s="2739"/>
      <c r="E3" s="2739"/>
      <c r="F3" s="2739"/>
      <c r="G3" s="2739"/>
      <c r="H3" s="1322"/>
      <c r="I3" s="1323"/>
      <c r="J3" s="2742" t="s">
        <v>183</v>
      </c>
      <c r="K3" s="2743"/>
      <c r="L3" s="2743"/>
      <c r="M3" s="2744"/>
    </row>
    <row r="4" spans="2:37" ht="15" thickBot="1">
      <c r="B4" s="2740"/>
      <c r="C4" s="2741"/>
      <c r="D4" s="2741"/>
      <c r="E4" s="2741"/>
      <c r="F4" s="2741"/>
      <c r="G4" s="2741"/>
      <c r="H4" s="1322"/>
      <c r="I4" s="1323"/>
      <c r="J4" s="2742"/>
      <c r="K4" s="2743"/>
      <c r="L4" s="2743"/>
      <c r="M4" s="2744"/>
      <c r="U4" s="2748" t="s">
        <v>369</v>
      </c>
      <c r="V4" s="2749"/>
      <c r="W4" s="2749"/>
      <c r="X4" s="2749"/>
      <c r="Y4" s="2749"/>
      <c r="Z4" s="2749"/>
      <c r="AA4" s="2749"/>
      <c r="AB4" s="2749"/>
      <c r="AC4" s="2749"/>
      <c r="AD4" s="1325" t="s">
        <v>370</v>
      </c>
      <c r="AE4" s="1326"/>
      <c r="AF4" s="1326"/>
      <c r="AG4" s="1326"/>
      <c r="AH4" s="1326"/>
      <c r="AI4" s="1326"/>
      <c r="AJ4" s="1326"/>
      <c r="AK4" s="1326"/>
    </row>
    <row r="5" spans="2:37">
      <c r="B5" s="2750" t="s">
        <v>1131</v>
      </c>
      <c r="C5" s="2751"/>
      <c r="D5" s="2751"/>
      <c r="E5" s="2751"/>
      <c r="F5" s="2751"/>
      <c r="G5" s="2751"/>
      <c r="H5" s="1322"/>
      <c r="I5" s="1323"/>
      <c r="J5" s="2742"/>
      <c r="K5" s="2743"/>
      <c r="L5" s="2743"/>
      <c r="M5" s="2744"/>
      <c r="U5" s="2748"/>
      <c r="V5" s="2749"/>
      <c r="W5" s="2749"/>
      <c r="X5" s="2749"/>
      <c r="Y5" s="2749"/>
      <c r="Z5" s="2749"/>
      <c r="AA5" s="2749"/>
      <c r="AB5" s="2749"/>
      <c r="AC5" s="2749"/>
      <c r="AD5" s="2716" t="s">
        <v>904</v>
      </c>
      <c r="AE5" s="2716"/>
      <c r="AF5" s="2716"/>
      <c r="AG5" s="2716"/>
      <c r="AH5" s="2716"/>
      <c r="AI5" s="2716"/>
      <c r="AJ5" s="2716"/>
      <c r="AK5" s="2716"/>
    </row>
    <row r="6" spans="2:37">
      <c r="B6" s="2752"/>
      <c r="C6" s="2753"/>
      <c r="D6" s="2753"/>
      <c r="E6" s="2753"/>
      <c r="F6" s="2753"/>
      <c r="G6" s="2753"/>
      <c r="H6" s="1322"/>
      <c r="I6" s="1323"/>
      <c r="J6" s="2742"/>
      <c r="K6" s="2743"/>
      <c r="L6" s="2743"/>
      <c r="M6" s="2744"/>
      <c r="U6" s="1327"/>
      <c r="V6" s="1326"/>
      <c r="W6" s="1326"/>
      <c r="X6" s="1326"/>
      <c r="Y6" s="1326"/>
      <c r="Z6" s="1326"/>
      <c r="AA6" s="1326"/>
      <c r="AB6" s="1326"/>
      <c r="AC6" s="1326"/>
      <c r="AD6" s="2716"/>
      <c r="AE6" s="2716"/>
      <c r="AF6" s="2716"/>
      <c r="AG6" s="2716"/>
      <c r="AH6" s="2716"/>
      <c r="AI6" s="2716"/>
      <c r="AJ6" s="2716"/>
      <c r="AK6" s="2716"/>
    </row>
    <row r="7" spans="2:37" ht="15" thickBot="1">
      <c r="B7" s="2754"/>
      <c r="C7" s="2755"/>
      <c r="D7" s="2755"/>
      <c r="E7" s="2755" t="b">
        <v>0</v>
      </c>
      <c r="F7" s="2755" t="b">
        <v>1</v>
      </c>
      <c r="G7" s="2755" t="b">
        <v>0</v>
      </c>
      <c r="H7" s="1328"/>
      <c r="I7" s="1329"/>
      <c r="J7" s="2745"/>
      <c r="K7" s="2746"/>
      <c r="L7" s="2746"/>
      <c r="M7" s="2747"/>
      <c r="U7" s="1327"/>
      <c r="V7" s="1326"/>
      <c r="W7" s="1326"/>
      <c r="X7" s="1326"/>
      <c r="Y7" s="1326"/>
      <c r="Z7" s="1326"/>
      <c r="AA7" s="1326"/>
      <c r="AB7" s="1326"/>
      <c r="AC7" s="1326"/>
      <c r="AD7" s="2716"/>
      <c r="AE7" s="2716"/>
      <c r="AF7" s="2716"/>
      <c r="AG7" s="2716"/>
      <c r="AH7" s="2716"/>
      <c r="AI7" s="2716"/>
      <c r="AJ7" s="2716"/>
      <c r="AK7" s="2716"/>
    </row>
    <row r="8" spans="2:37" ht="19.2" thickBot="1">
      <c r="B8" s="2720" t="s">
        <v>365</v>
      </c>
      <c r="C8" s="2721"/>
      <c r="D8" s="2721"/>
      <c r="E8" s="2721"/>
      <c r="F8" s="2721"/>
      <c r="G8" s="2721"/>
      <c r="H8" s="2721"/>
      <c r="I8" s="2721"/>
      <c r="J8" s="2721"/>
      <c r="K8" s="2721"/>
      <c r="L8" s="2721"/>
      <c r="M8" s="2722"/>
      <c r="U8" s="1327"/>
      <c r="V8" s="1326"/>
      <c r="W8" s="1326"/>
      <c r="X8" s="1326"/>
      <c r="Y8" s="1326"/>
      <c r="Z8" s="1326"/>
      <c r="AA8" s="1326"/>
      <c r="AB8" s="1326"/>
      <c r="AC8" s="1326"/>
      <c r="AD8" s="1325" t="s">
        <v>372</v>
      </c>
      <c r="AE8" s="1326"/>
      <c r="AF8" s="1326"/>
      <c r="AG8" s="1326"/>
      <c r="AH8" s="1326"/>
      <c r="AI8" s="1326"/>
      <c r="AJ8" s="1326"/>
      <c r="AK8" s="1326"/>
    </row>
    <row r="9" spans="2:37" ht="18.600000000000001" thickBot="1">
      <c r="B9" s="2717" t="s">
        <v>8</v>
      </c>
      <c r="C9" s="2718"/>
      <c r="D9" s="2718"/>
      <c r="E9" s="2718"/>
      <c r="F9" s="2718"/>
      <c r="G9" s="2718"/>
      <c r="H9" s="2718"/>
      <c r="I9" s="2718"/>
      <c r="J9" s="2718"/>
      <c r="K9" s="2718"/>
      <c r="L9" s="2718"/>
      <c r="M9" s="2719"/>
      <c r="N9" s="1330"/>
      <c r="O9" s="1330"/>
      <c r="P9" s="1330"/>
      <c r="Q9" s="1330"/>
      <c r="R9" s="1330"/>
      <c r="S9" s="1330"/>
      <c r="U9" s="1327"/>
      <c r="V9" s="1326"/>
      <c r="W9" s="1326"/>
      <c r="X9" s="1326"/>
      <c r="Y9" s="1326"/>
      <c r="Z9" s="1326"/>
      <c r="AA9" s="1326"/>
      <c r="AB9" s="1326"/>
      <c r="AC9" s="1326"/>
      <c r="AD9" s="1331" t="s">
        <v>373</v>
      </c>
      <c r="AE9" s="1326"/>
      <c r="AF9" s="1326"/>
      <c r="AG9" s="1326"/>
      <c r="AH9" s="1326"/>
      <c r="AI9" s="1326"/>
      <c r="AJ9" s="1326"/>
      <c r="AK9" s="1326"/>
    </row>
    <row r="10" spans="2:37" ht="18.600000000000001" thickBot="1">
      <c r="B10" s="2717" t="s">
        <v>628</v>
      </c>
      <c r="C10" s="2718"/>
      <c r="D10" s="2718"/>
      <c r="E10" s="2718"/>
      <c r="F10" s="2718"/>
      <c r="G10" s="2718"/>
      <c r="H10" s="2718"/>
      <c r="I10" s="2718"/>
      <c r="J10" s="2718"/>
      <c r="K10" s="2718"/>
      <c r="L10" s="2718"/>
      <c r="M10" s="2719"/>
      <c r="U10" s="1327"/>
      <c r="V10" s="1326"/>
      <c r="W10" s="1326"/>
      <c r="X10" s="1326"/>
      <c r="Y10" s="1326"/>
      <c r="Z10" s="1326"/>
      <c r="AA10" s="1326"/>
      <c r="AB10" s="1326"/>
      <c r="AC10" s="1326"/>
      <c r="AD10" s="1331"/>
      <c r="AE10" s="1326"/>
      <c r="AF10" s="1326"/>
      <c r="AG10" s="1326"/>
      <c r="AH10" s="1326"/>
      <c r="AI10" s="1326"/>
      <c r="AJ10" s="1326"/>
      <c r="AK10" s="1326"/>
    </row>
    <row r="11" spans="2:37" ht="19.5" customHeight="1" thickBot="1">
      <c r="B11" s="2730" t="s">
        <v>909</v>
      </c>
      <c r="C11" s="2731"/>
      <c r="D11" s="2731"/>
      <c r="E11" s="2731"/>
      <c r="F11" s="2731"/>
      <c r="G11" s="2731"/>
      <c r="H11" s="2731"/>
      <c r="I11" s="2731"/>
      <c r="J11" s="2731"/>
      <c r="K11" s="2731"/>
      <c r="L11" s="2731"/>
      <c r="M11" s="2732"/>
      <c r="U11" s="1327"/>
      <c r="V11" s="1326"/>
      <c r="W11" s="1326"/>
      <c r="X11" s="1326"/>
      <c r="Y11" s="1326"/>
      <c r="Z11" s="1326"/>
      <c r="AA11" s="1326"/>
      <c r="AB11" s="1326"/>
      <c r="AC11" s="1326"/>
      <c r="AD11" s="2733" t="s">
        <v>374</v>
      </c>
      <c r="AE11" s="2733"/>
      <c r="AF11" s="2733"/>
      <c r="AG11" s="2733"/>
      <c r="AH11" s="2733"/>
      <c r="AI11" s="2733"/>
      <c r="AJ11" s="2733"/>
      <c r="AK11" s="2733"/>
    </row>
    <row r="12" spans="2:37" ht="18.600000000000001" thickBot="1">
      <c r="B12" s="2717" t="s">
        <v>894</v>
      </c>
      <c r="C12" s="2718"/>
      <c r="D12" s="2718"/>
      <c r="E12" s="2718"/>
      <c r="F12" s="2718"/>
      <c r="G12" s="2718"/>
      <c r="H12" s="2718"/>
      <c r="I12" s="2718"/>
      <c r="J12" s="2718"/>
      <c r="K12" s="2718"/>
      <c r="L12" s="2718"/>
      <c r="M12" s="2719"/>
      <c r="U12" s="1332" t="s">
        <v>900</v>
      </c>
      <c r="V12" s="1326"/>
      <c r="W12" s="1326"/>
      <c r="X12" s="1326"/>
      <c r="Y12" s="1326"/>
      <c r="Z12" s="1326"/>
      <c r="AA12" s="1326"/>
      <c r="AB12" s="1326"/>
      <c r="AC12" s="1326"/>
      <c r="AD12" s="2733"/>
      <c r="AE12" s="2733"/>
      <c r="AF12" s="2733"/>
      <c r="AG12" s="2733"/>
      <c r="AH12" s="2733"/>
      <c r="AI12" s="2733"/>
      <c r="AJ12" s="2733"/>
      <c r="AK12" s="2733"/>
    </row>
    <row r="13" spans="2:37" ht="18.600000000000001" thickBot="1">
      <c r="B13" s="2717" t="s">
        <v>895</v>
      </c>
      <c r="C13" s="2718"/>
      <c r="D13" s="2718"/>
      <c r="E13" s="2718"/>
      <c r="F13" s="2718"/>
      <c r="G13" s="2718"/>
      <c r="H13" s="2718"/>
      <c r="I13" s="2718"/>
      <c r="J13" s="2718"/>
      <c r="K13" s="2718"/>
      <c r="L13" s="2718"/>
      <c r="M13" s="2719"/>
      <c r="U13" s="1327"/>
      <c r="V13" s="1326"/>
      <c r="W13" s="1326"/>
      <c r="X13" s="1326"/>
      <c r="Y13" s="1326"/>
      <c r="Z13" s="1326"/>
      <c r="AA13" s="1326"/>
      <c r="AB13" s="1326"/>
      <c r="AC13" s="1326"/>
      <c r="AD13" s="1325" t="s">
        <v>375</v>
      </c>
      <c r="AE13" s="1326"/>
      <c r="AF13" s="1326"/>
      <c r="AG13" s="1326"/>
      <c r="AH13" s="1326"/>
      <c r="AI13" s="1326"/>
      <c r="AJ13" s="1326"/>
      <c r="AK13" s="1326"/>
    </row>
    <row r="14" spans="2:37" ht="18.600000000000001" thickBot="1">
      <c r="B14" s="2717" t="s">
        <v>896</v>
      </c>
      <c r="C14" s="2718"/>
      <c r="D14" s="2718"/>
      <c r="E14" s="2718"/>
      <c r="F14" s="2718"/>
      <c r="G14" s="2718"/>
      <c r="H14" s="2718"/>
      <c r="I14" s="2718"/>
      <c r="J14" s="2718"/>
      <c r="K14" s="2718"/>
      <c r="L14" s="2718"/>
      <c r="M14" s="2719"/>
      <c r="U14" s="1332"/>
      <c r="V14" s="1326"/>
      <c r="W14" s="1326"/>
      <c r="X14" s="1326"/>
      <c r="Y14" s="1326"/>
      <c r="Z14" s="1326"/>
      <c r="AA14" s="1326"/>
      <c r="AB14" s="1326"/>
      <c r="AC14" s="1326"/>
      <c r="AD14" s="1331" t="s">
        <v>377</v>
      </c>
      <c r="AE14" s="1326"/>
      <c r="AF14" s="1326"/>
      <c r="AG14" s="1326"/>
      <c r="AH14" s="1326"/>
      <c r="AI14" s="1326"/>
      <c r="AJ14" s="1326"/>
      <c r="AK14" s="1326"/>
    </row>
    <row r="15" spans="2:37" ht="18.600000000000001" thickBot="1">
      <c r="B15" s="2717" t="s">
        <v>956</v>
      </c>
      <c r="C15" s="2718"/>
      <c r="D15" s="2718"/>
      <c r="E15" s="2718"/>
      <c r="F15" s="2718"/>
      <c r="G15" s="2718"/>
      <c r="H15" s="2718"/>
      <c r="I15" s="2718"/>
      <c r="J15" s="2718"/>
      <c r="K15" s="2718"/>
      <c r="L15" s="2718"/>
      <c r="M15" s="2719"/>
      <c r="U15" s="1327"/>
      <c r="V15" s="1326"/>
      <c r="W15" s="1326"/>
      <c r="X15" s="1326"/>
      <c r="Y15" s="1326"/>
      <c r="Z15" s="1326"/>
      <c r="AA15" s="1326"/>
      <c r="AB15" s="1326"/>
      <c r="AC15" s="1326"/>
      <c r="AD15" s="1326"/>
      <c r="AE15" s="1326"/>
      <c r="AF15" s="1326"/>
      <c r="AG15" s="1326"/>
      <c r="AH15" s="1326"/>
      <c r="AI15" s="1326"/>
      <c r="AJ15" s="1326"/>
      <c r="AK15" s="1326"/>
    </row>
    <row r="16" spans="2:37" ht="19.2" thickBot="1">
      <c r="B16" s="2723" t="s">
        <v>1171</v>
      </c>
      <c r="C16" s="2724"/>
      <c r="D16" s="2724"/>
      <c r="E16" s="2724"/>
      <c r="F16" s="2724"/>
      <c r="G16" s="2724"/>
      <c r="H16" s="2724"/>
      <c r="I16" s="2724"/>
      <c r="J16" s="2724"/>
      <c r="K16" s="2724"/>
      <c r="L16" s="2724"/>
      <c r="M16" s="2725"/>
      <c r="U16" s="1333" t="s">
        <v>901</v>
      </c>
      <c r="V16" s="1326"/>
      <c r="W16" s="1326"/>
      <c r="X16" s="1326"/>
      <c r="Y16" s="1326"/>
      <c r="Z16" s="1334" t="s">
        <v>902</v>
      </c>
      <c r="AA16" s="1326"/>
      <c r="AB16" s="1326"/>
      <c r="AC16" s="1326"/>
      <c r="AD16" s="1325" t="s">
        <v>379</v>
      </c>
      <c r="AE16" s="1326"/>
      <c r="AF16" s="1326"/>
      <c r="AG16" s="1326"/>
      <c r="AH16" s="1326"/>
      <c r="AI16" s="1326"/>
      <c r="AJ16" s="1326"/>
      <c r="AK16" s="1326"/>
    </row>
    <row r="17" spans="2:37" ht="18.600000000000001" thickBot="1">
      <c r="B17" s="2717" t="s">
        <v>1170</v>
      </c>
      <c r="C17" s="2718"/>
      <c r="D17" s="2718"/>
      <c r="E17" s="2718"/>
      <c r="F17" s="2718"/>
      <c r="G17" s="2718"/>
      <c r="H17" s="2718"/>
      <c r="I17" s="2718"/>
      <c r="J17" s="2718"/>
      <c r="K17" s="2718"/>
      <c r="L17" s="2718"/>
      <c r="M17" s="2719"/>
      <c r="U17" s="1327"/>
      <c r="V17" s="1326"/>
      <c r="W17" s="1326"/>
      <c r="X17" s="1326"/>
      <c r="Y17" s="1326"/>
      <c r="Z17" s="1326"/>
      <c r="AA17" s="1326"/>
      <c r="AB17" s="1326"/>
      <c r="AC17" s="1326"/>
      <c r="AD17" s="1331" t="s">
        <v>381</v>
      </c>
      <c r="AE17" s="1326"/>
      <c r="AF17" s="1326"/>
      <c r="AG17" s="1326"/>
      <c r="AH17" s="1326"/>
      <c r="AI17" s="1326"/>
      <c r="AJ17" s="1326"/>
      <c r="AK17" s="1326"/>
    </row>
    <row r="18" spans="2:37" ht="18.600000000000001">
      <c r="B18" s="1335"/>
      <c r="C18" s="1336"/>
      <c r="D18" s="1336"/>
      <c r="E18" s="1336"/>
      <c r="F18" s="1337"/>
      <c r="G18" s="1338"/>
      <c r="H18" s="1337"/>
      <c r="I18" s="1339"/>
      <c r="J18" s="1340"/>
      <c r="K18" s="1340"/>
      <c r="L18" s="1340"/>
      <c r="M18" s="1340"/>
      <c r="U18" s="1327"/>
      <c r="V18" s="1326"/>
      <c r="W18" s="1326"/>
      <c r="X18" s="1326"/>
      <c r="Y18" s="1326"/>
      <c r="Z18" s="1326"/>
      <c r="AA18" s="1326"/>
      <c r="AB18" s="1326"/>
      <c r="AC18" s="1326"/>
      <c r="AD18" s="1326"/>
      <c r="AE18" s="1326"/>
      <c r="AF18" s="1326"/>
      <c r="AG18" s="1326"/>
      <c r="AH18" s="1326"/>
      <c r="AI18" s="1326"/>
      <c r="AJ18" s="1326"/>
      <c r="AK18" s="1326"/>
    </row>
    <row r="19" spans="2:37" ht="18.600000000000001">
      <c r="B19" s="1341"/>
      <c r="C19" s="1336"/>
      <c r="D19" s="1336"/>
      <c r="E19" s="1336"/>
      <c r="F19" s="1337"/>
      <c r="G19" s="1338"/>
      <c r="H19" s="1337"/>
      <c r="I19" s="1339"/>
      <c r="J19" s="1340"/>
      <c r="K19" s="1340"/>
      <c r="L19" s="1340"/>
      <c r="M19" s="1340"/>
      <c r="U19" s="1327"/>
      <c r="V19" s="1326"/>
      <c r="W19" s="1326"/>
      <c r="X19" s="1326"/>
      <c r="Y19" s="1326"/>
      <c r="Z19" s="1326"/>
      <c r="AA19" s="1326"/>
      <c r="AB19" s="1326"/>
      <c r="AC19" s="1326"/>
      <c r="AD19" s="1325" t="s">
        <v>382</v>
      </c>
      <c r="AE19" s="1326"/>
      <c r="AF19" s="1326"/>
      <c r="AG19" s="1326"/>
      <c r="AH19" s="1326"/>
      <c r="AI19" s="1326"/>
      <c r="AJ19" s="1326"/>
      <c r="AK19" s="1326"/>
    </row>
    <row r="20" spans="2:37" ht="19.2" thickBot="1">
      <c r="B20" s="1335"/>
      <c r="C20" s="1336"/>
      <c r="D20" s="1336"/>
      <c r="E20" s="1336"/>
      <c r="F20" s="1337"/>
      <c r="G20" s="1338"/>
      <c r="H20" s="1337"/>
      <c r="I20" s="1339"/>
      <c r="J20" s="1340"/>
      <c r="K20" s="1340"/>
      <c r="L20" s="1340"/>
      <c r="M20" s="1340"/>
      <c r="U20" s="1327"/>
      <c r="V20" s="1326"/>
      <c r="W20" s="1326"/>
      <c r="X20" s="1326"/>
      <c r="Y20" s="1326"/>
      <c r="Z20" s="1326"/>
      <c r="AA20" s="1326"/>
      <c r="AB20" s="1326"/>
      <c r="AC20" s="1326"/>
      <c r="AD20" s="1331" t="s">
        <v>383</v>
      </c>
      <c r="AE20" s="1326"/>
      <c r="AF20" s="1326"/>
      <c r="AG20" s="1326"/>
      <c r="AH20" s="1326"/>
      <c r="AI20" s="1326"/>
      <c r="AJ20" s="1326"/>
      <c r="AK20" s="1326"/>
    </row>
    <row r="21" spans="2:37" ht="18.600000000000001" thickBot="1">
      <c r="B21" s="2470" t="s">
        <v>8</v>
      </c>
      <c r="C21" s="2471"/>
      <c r="D21" s="2471"/>
      <c r="E21" s="2471"/>
      <c r="F21" s="2471"/>
      <c r="G21" s="2471"/>
      <c r="H21" s="2471"/>
      <c r="I21" s="2471"/>
      <c r="J21" s="2471"/>
      <c r="K21" s="2471"/>
      <c r="L21" s="2471"/>
      <c r="M21" s="2472"/>
      <c r="U21" s="1327"/>
      <c r="V21" s="1326"/>
      <c r="W21" s="1326"/>
      <c r="X21" s="1326"/>
      <c r="Y21" s="1326"/>
      <c r="Z21" s="1326"/>
      <c r="AA21" s="1326"/>
      <c r="AB21" s="1326"/>
      <c r="AC21" s="1326"/>
      <c r="AD21" s="1331" t="s">
        <v>384</v>
      </c>
      <c r="AE21" s="1326"/>
      <c r="AF21" s="1326"/>
      <c r="AG21" s="1326"/>
      <c r="AH21" s="1326"/>
      <c r="AI21" s="1326"/>
      <c r="AJ21" s="1326"/>
      <c r="AK21" s="1326"/>
    </row>
    <row r="22" spans="2:37" ht="18">
      <c r="B22" s="2726" t="s">
        <v>1</v>
      </c>
      <c r="C22" s="2727"/>
      <c r="D22" s="2727"/>
      <c r="E22" s="2727"/>
      <c r="F22" s="2727"/>
      <c r="G22" s="2728" t="s">
        <v>1011</v>
      </c>
      <c r="H22" s="2728"/>
      <c r="I22" s="2728"/>
      <c r="J22" s="2728"/>
      <c r="K22" s="2728"/>
      <c r="L22" s="2728"/>
      <c r="M22" s="2729"/>
      <c r="U22" s="1327"/>
      <c r="V22" s="1326"/>
      <c r="W22" s="1326"/>
      <c r="X22" s="1342" t="s">
        <v>903</v>
      </c>
      <c r="Y22" s="1326"/>
      <c r="Z22" s="1326"/>
      <c r="AA22" s="1326"/>
      <c r="AB22" s="1326"/>
      <c r="AC22" s="1326"/>
      <c r="AD22" s="1326"/>
      <c r="AE22" s="1326"/>
      <c r="AF22" s="1326"/>
      <c r="AG22" s="1326"/>
      <c r="AH22" s="1326"/>
      <c r="AI22" s="1326"/>
      <c r="AJ22" s="1326"/>
      <c r="AK22" s="1326"/>
    </row>
    <row r="23" spans="2:37" ht="18">
      <c r="B23" s="2726" t="s">
        <v>1241</v>
      </c>
      <c r="C23" s="2727"/>
      <c r="D23" s="2727"/>
      <c r="E23" s="2727"/>
      <c r="F23" s="2727"/>
      <c r="G23" s="2770" t="s">
        <v>1011</v>
      </c>
      <c r="H23" s="2771"/>
      <c r="I23" s="2771"/>
      <c r="J23" s="2771"/>
      <c r="K23" s="2771"/>
      <c r="L23" s="2771"/>
      <c r="M23" s="2772"/>
      <c r="U23" s="1327"/>
      <c r="V23" s="1326"/>
      <c r="W23" s="1326"/>
      <c r="X23" s="1342"/>
      <c r="Y23" s="1326"/>
      <c r="Z23" s="1326"/>
      <c r="AA23" s="1326"/>
      <c r="AB23" s="1326"/>
      <c r="AC23" s="1326"/>
      <c r="AD23" s="1326"/>
      <c r="AE23" s="1326"/>
      <c r="AF23" s="1326"/>
      <c r="AG23" s="1326"/>
      <c r="AH23" s="1326"/>
      <c r="AI23" s="1326"/>
      <c r="AJ23" s="1326"/>
      <c r="AK23" s="1326"/>
    </row>
    <row r="24" spans="2:37" ht="18">
      <c r="B24" s="2756" t="s">
        <v>1302</v>
      </c>
      <c r="C24" s="2757"/>
      <c r="D24" s="2757"/>
      <c r="E24" s="2757"/>
      <c r="F24" s="2757"/>
      <c r="G24" s="1730">
        <v>45139</v>
      </c>
      <c r="H24" s="2765" t="s">
        <v>159</v>
      </c>
      <c r="I24" s="2765"/>
      <c r="J24" s="2765"/>
      <c r="K24" s="2765"/>
      <c r="L24" s="2765"/>
      <c r="M24" s="2766"/>
      <c r="U24" s="1327"/>
      <c r="V24" s="1325"/>
      <c r="W24" s="1326"/>
      <c r="X24" s="1326"/>
      <c r="Y24" s="1326"/>
      <c r="Z24" s="1326"/>
      <c r="AA24" s="1326"/>
      <c r="AB24" s="1326"/>
      <c r="AC24" s="1326"/>
      <c r="AD24" s="1325" t="s">
        <v>386</v>
      </c>
      <c r="AE24" s="1326"/>
      <c r="AF24" s="1326"/>
      <c r="AG24" s="1326"/>
      <c r="AH24" s="1326"/>
      <c r="AI24" s="1326"/>
      <c r="AJ24" s="1326"/>
      <c r="AK24" s="1326"/>
    </row>
    <row r="25" spans="2:37" ht="18">
      <c r="B25" s="2756" t="s">
        <v>5</v>
      </c>
      <c r="C25" s="2757"/>
      <c r="D25" s="2757"/>
      <c r="E25" s="2757"/>
      <c r="F25" s="2757"/>
      <c r="G25" s="1731" t="s">
        <v>1275</v>
      </c>
      <c r="H25" s="2765"/>
      <c r="I25" s="2765"/>
      <c r="J25" s="2765"/>
      <c r="K25" s="2765"/>
      <c r="L25" s="2765"/>
      <c r="M25" s="2766"/>
      <c r="U25" s="1327"/>
      <c r="V25" s="1325"/>
      <c r="W25" s="1326"/>
      <c r="X25" s="1326"/>
      <c r="Y25" s="1326"/>
      <c r="Z25" s="1326"/>
      <c r="AA25" s="1326"/>
      <c r="AB25" s="1326"/>
      <c r="AC25" s="1326"/>
      <c r="AD25" s="1331" t="s">
        <v>387</v>
      </c>
      <c r="AE25" s="1326"/>
      <c r="AF25" s="1326"/>
      <c r="AG25" s="1326"/>
      <c r="AH25" s="1326"/>
      <c r="AI25" s="1326"/>
      <c r="AJ25" s="1326"/>
      <c r="AK25" s="1326"/>
    </row>
    <row r="26" spans="2:37" ht="18">
      <c r="B26" s="2756" t="s">
        <v>119</v>
      </c>
      <c r="C26" s="2757"/>
      <c r="D26" s="2757"/>
      <c r="E26" s="2757"/>
      <c r="F26" s="2757"/>
      <c r="G26" s="1730">
        <v>45627</v>
      </c>
      <c r="H26" s="2765"/>
      <c r="I26" s="2765"/>
      <c r="J26" s="2765"/>
      <c r="K26" s="2765"/>
      <c r="L26" s="2765"/>
      <c r="M26" s="2766"/>
    </row>
    <row r="27" spans="2:37" ht="18">
      <c r="B27" s="2756" t="s">
        <v>120</v>
      </c>
      <c r="C27" s="2757"/>
      <c r="D27" s="2757"/>
      <c r="E27" s="2757"/>
      <c r="F27" s="2757"/>
      <c r="G27" s="1698">
        <v>45104</v>
      </c>
      <c r="H27" s="2758" t="str">
        <f>IF(G27&lt;=G24,"","Les travaux ont commencés avant la date de dépôt du dossier: le projet n'est plus finançable")</f>
        <v/>
      </c>
      <c r="I27" s="2758"/>
      <c r="J27" s="2758"/>
      <c r="K27" s="2758"/>
      <c r="L27" s="2758"/>
      <c r="M27" s="2759"/>
    </row>
    <row r="28" spans="2:37" ht="18">
      <c r="B28" s="2756" t="s">
        <v>1076</v>
      </c>
      <c r="C28" s="2757"/>
      <c r="D28" s="2757"/>
      <c r="E28" s="2757"/>
      <c r="F28" s="2757"/>
      <c r="G28" s="1343" t="s">
        <v>998</v>
      </c>
      <c r="H28" s="1344" t="str">
        <f>IF(G28&lt;&gt;"oui","Attention qualification","")</f>
        <v>Attention qualification</v>
      </c>
      <c r="I28" s="2767"/>
      <c r="J28" s="2768"/>
      <c r="K28" s="2768"/>
      <c r="L28" s="2768"/>
      <c r="M28" s="2769"/>
    </row>
    <row r="29" spans="2:37" ht="18.600000000000001" thickBot="1">
      <c r="B29" s="2760" t="s">
        <v>118</v>
      </c>
      <c r="C29" s="2761"/>
      <c r="D29" s="2761"/>
      <c r="E29" s="2761"/>
      <c r="F29" s="2761"/>
      <c r="G29" s="1345"/>
      <c r="H29" s="2762"/>
      <c r="I29" s="2763"/>
      <c r="J29" s="2763"/>
      <c r="K29" s="2763"/>
      <c r="L29" s="2763"/>
      <c r="M29" s="2764"/>
    </row>
    <row r="30" spans="2:37" ht="18.75" customHeight="1">
      <c r="B30" s="2674" t="s">
        <v>587</v>
      </c>
      <c r="C30" s="2675"/>
      <c r="D30" s="2713" t="s">
        <v>596</v>
      </c>
      <c r="E30" s="2714"/>
      <c r="F30" s="2714"/>
      <c r="G30" s="2715"/>
      <c r="H30" s="1346" t="b">
        <v>0</v>
      </c>
      <c r="I30" s="1347" t="str">
        <f>IF(SUM(M30:M32)&gt;1,"Merci de ne cocher qu'une case","")</f>
        <v/>
      </c>
      <c r="J30" s="1348"/>
      <c r="K30" s="1348"/>
      <c r="L30" s="1348"/>
      <c r="M30" s="1349">
        <f>IF(ch_nappe=TRUE,1,0)</f>
        <v>0</v>
      </c>
      <c r="N30" s="2527"/>
    </row>
    <row r="31" spans="2:37" ht="18">
      <c r="B31" s="2676"/>
      <c r="C31" s="2677"/>
      <c r="D31" s="2691" t="s">
        <v>1089</v>
      </c>
      <c r="E31" s="2692"/>
      <c r="F31" s="2692"/>
      <c r="G31" s="2693"/>
      <c r="H31" s="1350" t="b">
        <v>1</v>
      </c>
      <c r="I31" s="1351"/>
      <c r="J31" s="1352"/>
      <c r="K31" s="1352"/>
      <c r="L31" s="1352"/>
      <c r="M31" s="1353">
        <f>IF(ch_sondes=TRUE,1,0)</f>
        <v>1</v>
      </c>
      <c r="N31" s="2527"/>
    </row>
    <row r="32" spans="2:37" ht="18.600000000000001" thickBot="1">
      <c r="B32" s="2676"/>
      <c r="C32" s="2677"/>
      <c r="D32" s="2694" t="s">
        <v>589</v>
      </c>
      <c r="E32" s="2695"/>
      <c r="F32" s="2695"/>
      <c r="G32" s="2696"/>
      <c r="H32" s="1689" t="b">
        <v>0</v>
      </c>
      <c r="I32" s="1358" t="s">
        <v>1011</v>
      </c>
      <c r="J32" s="1355"/>
      <c r="K32" s="1352" t="s">
        <v>1011</v>
      </c>
      <c r="L32" s="1352" t="s">
        <v>1011</v>
      </c>
      <c r="M32" s="1356">
        <f>IF(ch_eauxusees=TRUE,1,0)</f>
        <v>0</v>
      </c>
      <c r="N32" s="2527"/>
    </row>
    <row r="33" spans="2:19" ht="18.600000000000001" thickBot="1">
      <c r="B33" s="2706" t="s">
        <v>1259</v>
      </c>
      <c r="C33" s="2707"/>
      <c r="D33" s="1690" t="s">
        <v>1178</v>
      </c>
      <c r="E33" s="1691"/>
      <c r="F33" s="1691"/>
      <c r="G33" s="1692"/>
      <c r="H33" s="1693"/>
      <c r="I33" s="2708"/>
      <c r="J33" s="2709"/>
      <c r="K33" s="2709"/>
      <c r="L33" s="2709"/>
      <c r="M33" s="2710"/>
      <c r="N33" s="1687"/>
    </row>
    <row r="34" spans="2:19" ht="18">
      <c r="B34" s="2674" t="s">
        <v>590</v>
      </c>
      <c r="C34" s="2675"/>
      <c r="D34" s="2713" t="s">
        <v>442</v>
      </c>
      <c r="E34" s="2714"/>
      <c r="F34" s="2714"/>
      <c r="G34" s="2715"/>
      <c r="H34" s="1346" t="b">
        <v>1</v>
      </c>
      <c r="I34" s="1357"/>
      <c r="J34" s="1348"/>
      <c r="K34" s="1348"/>
      <c r="L34" s="1348"/>
      <c r="M34" s="1349"/>
    </row>
    <row r="35" spans="2:19" ht="18">
      <c r="B35" s="2676"/>
      <c r="C35" s="2677"/>
      <c r="D35" s="2691" t="s">
        <v>980</v>
      </c>
      <c r="E35" s="2692"/>
      <c r="F35" s="2692"/>
      <c r="G35" s="2693"/>
      <c r="H35" s="1350" t="b">
        <v>1</v>
      </c>
      <c r="I35" s="1351"/>
      <c r="J35" s="1352"/>
      <c r="K35" s="1352"/>
      <c r="L35" s="1352"/>
      <c r="M35" s="1353"/>
    </row>
    <row r="36" spans="2:19" ht="18">
      <c r="B36" s="2676"/>
      <c r="C36" s="2677"/>
      <c r="D36" s="2691" t="s">
        <v>981</v>
      </c>
      <c r="E36" s="2692"/>
      <c r="F36" s="2692"/>
      <c r="G36" s="2693"/>
      <c r="H36" s="1350" t="b">
        <v>1</v>
      </c>
      <c r="I36" s="1351"/>
      <c r="J36" s="1352"/>
      <c r="K36" s="1352"/>
      <c r="L36" s="1352"/>
      <c r="M36" s="1353"/>
    </row>
    <row r="37" spans="2:19" ht="18.600000000000001" thickBot="1">
      <c r="B37" s="2711"/>
      <c r="C37" s="2712"/>
      <c r="D37" s="2694" t="s">
        <v>982</v>
      </c>
      <c r="E37" s="2695"/>
      <c r="F37" s="2695"/>
      <c r="G37" s="2696"/>
      <c r="H37" s="1354" t="b">
        <v>0</v>
      </c>
      <c r="I37" s="1358"/>
      <c r="J37" s="1355"/>
      <c r="K37" s="1355"/>
      <c r="L37" s="1355"/>
      <c r="M37" s="1356"/>
    </row>
    <row r="38" spans="2:19" ht="18">
      <c r="B38" s="2676" t="s">
        <v>591</v>
      </c>
      <c r="C38" s="2677"/>
      <c r="D38" s="2785" t="s">
        <v>470</v>
      </c>
      <c r="E38" s="2786"/>
      <c r="F38" s="2786"/>
      <c r="G38" s="2787"/>
      <c r="H38" s="1359" t="b">
        <v>0</v>
      </c>
      <c r="I38" s="1360" t="str">
        <f>IF(SUM(M38:M41)&gt;1,"Merci de ne cocher qu'une case","")</f>
        <v/>
      </c>
      <c r="J38" s="1352"/>
      <c r="K38" s="1352"/>
      <c r="L38" s="1352"/>
      <c r="M38" s="1353">
        <f>IF(ch_constructionneuve=TRUE,1,0)</f>
        <v>0</v>
      </c>
    </row>
    <row r="39" spans="2:19" ht="18">
      <c r="B39" s="2676"/>
      <c r="C39" s="2677"/>
      <c r="D39" s="2691" t="s">
        <v>75</v>
      </c>
      <c r="E39" s="2692"/>
      <c r="F39" s="2692"/>
      <c r="G39" s="2693"/>
      <c r="H39" s="1350" t="b">
        <v>1</v>
      </c>
      <c r="I39" s="1351" t="s">
        <v>1079</v>
      </c>
      <c r="J39" s="1352" t="s">
        <v>1011</v>
      </c>
      <c r="K39" s="1352" t="s">
        <v>1011</v>
      </c>
      <c r="L39" s="1352"/>
      <c r="M39" s="1353">
        <f>IF(ch_renovationcomplete=TRUE,1,0)</f>
        <v>1</v>
      </c>
    </row>
    <row r="40" spans="2:19" ht="18">
      <c r="B40" s="2676"/>
      <c r="C40" s="2677"/>
      <c r="D40" s="2691" t="s">
        <v>1269</v>
      </c>
      <c r="E40" s="2692"/>
      <c r="F40" s="2692"/>
      <c r="G40" s="2693"/>
      <c r="H40" s="1350" t="b">
        <v>0</v>
      </c>
      <c r="I40" s="1351"/>
      <c r="J40" s="1352"/>
      <c r="K40" s="1352"/>
      <c r="L40" s="1352"/>
      <c r="M40" s="1353">
        <f>IF(ch_renovationenergetique=TRUE,1,0)</f>
        <v>0</v>
      </c>
    </row>
    <row r="41" spans="2:19" ht="18.600000000000001" thickBot="1">
      <c r="B41" s="2711"/>
      <c r="C41" s="2712"/>
      <c r="D41" s="2694" t="s">
        <v>1270</v>
      </c>
      <c r="E41" s="2695"/>
      <c r="F41" s="2695"/>
      <c r="G41" s="2696"/>
      <c r="H41" s="1354" t="b">
        <v>0</v>
      </c>
      <c r="I41" s="1358" t="s">
        <v>1077</v>
      </c>
      <c r="J41" s="1355"/>
      <c r="K41" s="1355"/>
      <c r="L41" s="1355"/>
      <c r="M41" s="1356">
        <f>IF(ch_travauxmelange=TRUE,1,0)</f>
        <v>0</v>
      </c>
    </row>
    <row r="42" spans="2:19" ht="15" customHeight="1">
      <c r="B42" s="2676" t="s">
        <v>121</v>
      </c>
      <c r="C42" s="2677"/>
      <c r="D42" s="2697"/>
      <c r="E42" s="2698"/>
      <c r="F42" s="2698"/>
      <c r="G42" s="2698"/>
      <c r="H42" s="2698"/>
      <c r="I42" s="2698"/>
      <c r="J42" s="2698"/>
      <c r="K42" s="2698"/>
      <c r="L42" s="2698"/>
      <c r="M42" s="2699"/>
    </row>
    <row r="43" spans="2:19" ht="15" customHeight="1">
      <c r="B43" s="2676"/>
      <c r="C43" s="2677"/>
      <c r="D43" s="2700"/>
      <c r="E43" s="2701"/>
      <c r="F43" s="2701"/>
      <c r="G43" s="2701"/>
      <c r="H43" s="2701"/>
      <c r="I43" s="2701"/>
      <c r="J43" s="2701"/>
      <c r="K43" s="2701"/>
      <c r="L43" s="2701"/>
      <c r="M43" s="2702"/>
    </row>
    <row r="44" spans="2:19" ht="15.75" customHeight="1" thickBot="1">
      <c r="B44" s="2676"/>
      <c r="C44" s="2677"/>
      <c r="D44" s="2703"/>
      <c r="E44" s="2704"/>
      <c r="F44" s="2704"/>
      <c r="G44" s="2704"/>
      <c r="H44" s="2704"/>
      <c r="I44" s="2704"/>
      <c r="J44" s="2704"/>
      <c r="K44" s="2704"/>
      <c r="L44" s="2704"/>
      <c r="M44" s="2705"/>
    </row>
    <row r="45" spans="2:19" ht="17.399999999999999">
      <c r="B45" s="2682" t="s">
        <v>122</v>
      </c>
      <c r="C45" s="2683"/>
      <c r="D45" s="2684"/>
      <c r="E45" s="2685" t="s">
        <v>156</v>
      </c>
      <c r="F45" s="2686"/>
      <c r="G45" s="2687" t="s">
        <v>123</v>
      </c>
      <c r="H45" s="2687"/>
      <c r="I45" s="2687"/>
      <c r="J45" s="2688"/>
      <c r="K45" s="1361" t="s">
        <v>124</v>
      </c>
      <c r="L45" s="1362" t="s">
        <v>973</v>
      </c>
      <c r="M45" s="1363" t="s">
        <v>125</v>
      </c>
      <c r="S45" s="1316"/>
    </row>
    <row r="46" spans="2:19" ht="18">
      <c r="B46" s="2481" t="s">
        <v>179</v>
      </c>
      <c r="C46" s="2481"/>
      <c r="D46" s="2481"/>
      <c r="E46" s="2413" t="s">
        <v>1011</v>
      </c>
      <c r="F46" s="2414"/>
      <c r="G46" s="2689" t="s">
        <v>1011</v>
      </c>
      <c r="H46" s="2689"/>
      <c r="I46" s="2689"/>
      <c r="J46" s="2690"/>
      <c r="K46" s="1696" t="s">
        <v>977</v>
      </c>
      <c r="L46" s="1696"/>
      <c r="M46" s="1696"/>
      <c r="S46" s="1316"/>
    </row>
    <row r="47" spans="2:19" ht="18">
      <c r="B47" s="2481" t="s">
        <v>180</v>
      </c>
      <c r="C47" s="2481"/>
      <c r="D47" s="2481"/>
      <c r="E47" s="2413"/>
      <c r="F47" s="2414"/>
      <c r="G47" s="2689"/>
      <c r="H47" s="2689"/>
      <c r="I47" s="2689"/>
      <c r="J47" s="2690"/>
      <c r="K47" s="1696"/>
      <c r="L47" s="1696"/>
      <c r="M47" s="1696"/>
      <c r="S47" s="1316"/>
    </row>
    <row r="48" spans="2:19" ht="18">
      <c r="B48" s="2482" t="s">
        <v>989</v>
      </c>
      <c r="C48" s="2482"/>
      <c r="D48" s="2482"/>
      <c r="E48" s="2413" t="s">
        <v>1011</v>
      </c>
      <c r="F48" s="2414"/>
      <c r="G48" s="2689"/>
      <c r="H48" s="2689"/>
      <c r="I48" s="2689"/>
      <c r="J48" s="2690"/>
      <c r="K48" s="1696"/>
      <c r="L48" s="1697"/>
      <c r="M48" s="1696"/>
      <c r="S48" s="1316"/>
    </row>
    <row r="49" spans="2:19" ht="18">
      <c r="B49" s="2478" t="s">
        <v>380</v>
      </c>
      <c r="C49" s="2479"/>
      <c r="D49" s="2480"/>
      <c r="E49" s="2413"/>
      <c r="F49" s="2414"/>
      <c r="G49" s="2689"/>
      <c r="H49" s="2689"/>
      <c r="I49" s="2689"/>
      <c r="J49" s="2690"/>
      <c r="K49" s="1696"/>
      <c r="L49" s="1696"/>
      <c r="M49" s="1696"/>
      <c r="S49" s="1316"/>
    </row>
    <row r="50" spans="2:19" ht="18">
      <c r="B50" s="2478" t="s">
        <v>1176</v>
      </c>
      <c r="C50" s="2479"/>
      <c r="D50" s="2480"/>
      <c r="E50" s="2413" t="s">
        <v>1011</v>
      </c>
      <c r="F50" s="2414"/>
      <c r="G50" s="2689"/>
      <c r="H50" s="2689"/>
      <c r="I50" s="2689"/>
      <c r="J50" s="2690"/>
      <c r="K50" s="1696"/>
      <c r="L50" s="1696"/>
      <c r="M50" s="1696"/>
      <c r="S50" s="1316"/>
    </row>
    <row r="51" spans="2:19" ht="18">
      <c r="B51" s="2478" t="s">
        <v>1177</v>
      </c>
      <c r="C51" s="2479"/>
      <c r="D51" s="2480"/>
      <c r="E51" s="2413" t="s">
        <v>1011</v>
      </c>
      <c r="F51" s="2414"/>
      <c r="G51" s="1694"/>
      <c r="H51" s="1694" t="s">
        <v>1011</v>
      </c>
      <c r="I51" s="1694"/>
      <c r="J51" s="1695"/>
      <c r="K51" s="1696"/>
      <c r="L51" s="1696"/>
      <c r="M51" s="1696"/>
      <c r="S51" s="1316"/>
    </row>
    <row r="52" spans="2:19" ht="18">
      <c r="B52" s="2482" t="s">
        <v>1175</v>
      </c>
      <c r="C52" s="2482"/>
      <c r="D52" s="2482"/>
      <c r="E52" s="2413" t="s">
        <v>1011</v>
      </c>
      <c r="F52" s="2414"/>
      <c r="G52" s="2689"/>
      <c r="H52" s="2689"/>
      <c r="I52" s="2689"/>
      <c r="J52" s="2690"/>
      <c r="K52" s="1696"/>
      <c r="L52" s="1696"/>
      <c r="M52" s="1696"/>
      <c r="S52" s="1316"/>
    </row>
    <row r="53" spans="2:19" ht="18">
      <c r="B53" s="2482" t="s">
        <v>378</v>
      </c>
      <c r="C53" s="2482"/>
      <c r="D53" s="2482"/>
      <c r="E53" s="2413" t="s">
        <v>1011</v>
      </c>
      <c r="F53" s="2414"/>
      <c r="G53" s="2689"/>
      <c r="H53" s="2689"/>
      <c r="I53" s="2689"/>
      <c r="J53" s="2690"/>
      <c r="K53" s="1696"/>
      <c r="L53" s="1696"/>
      <c r="M53" s="1696"/>
      <c r="S53" s="1316"/>
    </row>
    <row r="54" spans="2:19" ht="18">
      <c r="B54" s="2482" t="s">
        <v>129</v>
      </c>
      <c r="C54" s="2482"/>
      <c r="D54" s="2482"/>
      <c r="E54" s="2413" t="s">
        <v>1011</v>
      </c>
      <c r="F54" s="2414"/>
      <c r="G54" s="2689"/>
      <c r="H54" s="2689"/>
      <c r="I54" s="2689"/>
      <c r="J54" s="2690"/>
      <c r="K54" s="1696"/>
      <c r="L54" s="1696"/>
      <c r="M54" s="1696"/>
    </row>
    <row r="55" spans="2:19" ht="18">
      <c r="B55" s="2482" t="s">
        <v>1080</v>
      </c>
      <c r="C55" s="2482"/>
      <c r="D55" s="2482"/>
      <c r="E55" s="2413" t="s">
        <v>1011</v>
      </c>
      <c r="F55" s="2414"/>
      <c r="G55" s="2689"/>
      <c r="H55" s="2689"/>
      <c r="I55" s="2689"/>
      <c r="J55" s="2690"/>
      <c r="K55" s="1696"/>
      <c r="L55" s="1696"/>
      <c r="M55" s="1696"/>
    </row>
    <row r="56" spans="2:19" ht="18" thickBot="1">
      <c r="B56" s="2678" t="s">
        <v>950</v>
      </c>
      <c r="C56" s="2679"/>
      <c r="D56" s="2679"/>
      <c r="E56" s="2679"/>
      <c r="F56" s="2679"/>
      <c r="G56" s="2679"/>
      <c r="H56" s="2679"/>
      <c r="I56" s="2679"/>
      <c r="J56" s="2679"/>
      <c r="K56" s="2679"/>
      <c r="L56" s="2679"/>
      <c r="M56" s="2680"/>
    </row>
    <row r="57" spans="2:19" ht="135.75" customHeight="1" thickBot="1">
      <c r="B57" s="1364"/>
      <c r="C57" s="2681" t="s">
        <v>1011</v>
      </c>
      <c r="D57" s="2681"/>
      <c r="E57" s="2681"/>
      <c r="F57" s="2681"/>
      <c r="G57" s="2681"/>
      <c r="H57" s="2681"/>
      <c r="I57" s="2681"/>
      <c r="J57" s="2681"/>
      <c r="K57" s="2681"/>
      <c r="L57" s="2681"/>
      <c r="M57" s="1365"/>
    </row>
    <row r="58" spans="2:19" ht="18" customHeight="1" thickBot="1">
      <c r="B58" s="2665" t="s">
        <v>1000</v>
      </c>
      <c r="C58" s="2666"/>
      <c r="D58" s="2666"/>
      <c r="E58" s="2666"/>
      <c r="F58" s="2666"/>
      <c r="G58" s="2666"/>
      <c r="H58" s="2666"/>
      <c r="I58" s="2666"/>
      <c r="J58" s="2666"/>
      <c r="K58" s="2666"/>
      <c r="L58" s="2666"/>
      <c r="M58" s="2667"/>
      <c r="O58" s="1366"/>
    </row>
    <row r="59" spans="2:19" ht="203.25" customHeight="1" thickBot="1">
      <c r="B59" s="1367"/>
      <c r="C59" s="2668" t="str">
        <f>IF(ch_nappe=TRUE,hydro_nappe,IF(ch_sondes=TRUE,hydro_sondes,IF(ch_eauxusees=TRUE, hydro_eauxusées,IF(ch_surface=TRUE,'menus geothermie'!P10,""))))</f>
        <v xml:space="preserve">o PAC sur sondes : 
- L'étude du sous-sol et le dimensionnement des équipements sous-sol et surface, selon le cahier des charges ADEME, réalisée par un prestataire d'étude qualifié RGE 1007 et/ou 2013.
- Le cas échéant (si L&gt;1000 m), le rapport du Test de Réponse thermique du Terrain (TRT), selon le cahier des charges ADEME, avec une géomodélisation (sous-sol et surface), réalisé par un foreur qualifié RGE et un prestataire d'étude qualifié RGE 1007 et/ou 2013. Les résultats du TRT seront transmis soit au moment du dépôt de dossier, soit intégrés au rapport intermédiaire si ils sont réalisés après l'instruction du dossier. </v>
      </c>
      <c r="D59" s="2669"/>
      <c r="E59" s="2669"/>
      <c r="F59" s="2669"/>
      <c r="G59" s="2669"/>
      <c r="H59" s="2669"/>
      <c r="I59" s="2669"/>
      <c r="J59" s="2669"/>
      <c r="K59" s="2669"/>
      <c r="L59" s="2669"/>
      <c r="M59" s="1368"/>
      <c r="N59" s="1366"/>
      <c r="O59" s="1366"/>
    </row>
    <row r="60" spans="2:19" ht="18" thickBot="1">
      <c r="B60" s="2670" t="s">
        <v>1149</v>
      </c>
      <c r="C60" s="2671"/>
      <c r="D60" s="2671"/>
      <c r="E60" s="2671"/>
      <c r="F60" s="2671"/>
      <c r="G60" s="2671"/>
      <c r="H60" s="2671"/>
      <c r="I60" s="2671"/>
      <c r="J60" s="2671"/>
      <c r="K60" s="2671"/>
      <c r="L60" s="2671"/>
      <c r="M60" s="2672"/>
    </row>
    <row r="61" spans="2:19" ht="363.75" customHeight="1" thickBot="1">
      <c r="B61" s="1369"/>
      <c r="C61" s="2673"/>
      <c r="D61" s="2673"/>
      <c r="E61" s="2673"/>
      <c r="F61" s="2673"/>
      <c r="G61" s="2673"/>
      <c r="H61" s="2673"/>
      <c r="I61" s="2673"/>
      <c r="J61" s="1370"/>
      <c r="K61" s="1370"/>
      <c r="L61" s="1370"/>
      <c r="M61" s="1371"/>
    </row>
    <row r="62" spans="2:19" ht="18" thickBot="1">
      <c r="B62" s="2644" t="s">
        <v>388</v>
      </c>
      <c r="C62" s="2645"/>
      <c r="D62" s="2645"/>
      <c r="E62" s="2645"/>
      <c r="F62" s="2645"/>
      <c r="G62" s="2645"/>
      <c r="H62" s="2645"/>
      <c r="I62" s="2645"/>
      <c r="J62" s="2645"/>
      <c r="K62" s="2645"/>
      <c r="L62" s="2645"/>
      <c r="M62" s="2646"/>
    </row>
    <row r="63" spans="2:19" ht="15.6">
      <c r="B63" s="1372"/>
      <c r="C63" s="2647" t="s">
        <v>389</v>
      </c>
      <c r="D63" s="2647"/>
      <c r="E63" s="2647"/>
      <c r="F63" s="2647"/>
      <c r="G63" s="2647"/>
      <c r="H63" s="2647" t="s">
        <v>390</v>
      </c>
      <c r="I63" s="2647"/>
      <c r="J63" s="2647"/>
      <c r="K63" s="2647" t="s">
        <v>391</v>
      </c>
      <c r="L63" s="2647"/>
      <c r="M63" s="1373"/>
    </row>
    <row r="64" spans="2:19" ht="15.6">
      <c r="B64" s="1372"/>
      <c r="C64" s="2650" t="s">
        <v>1279</v>
      </c>
      <c r="D64" s="2650"/>
      <c r="E64" s="2650"/>
      <c r="F64" s="2650"/>
      <c r="G64" s="2650"/>
      <c r="H64" s="2651">
        <v>45047</v>
      </c>
      <c r="I64" s="2650"/>
      <c r="J64" s="2650"/>
      <c r="K64" s="2652"/>
      <c r="L64" s="2652"/>
      <c r="M64" s="1373"/>
    </row>
    <row r="65" spans="2:20" ht="15.6">
      <c r="B65" s="1372"/>
      <c r="C65" s="2650" t="s">
        <v>1276</v>
      </c>
      <c r="D65" s="2650"/>
      <c r="E65" s="2650"/>
      <c r="F65" s="2650"/>
      <c r="G65" s="2650"/>
      <c r="H65" s="2651">
        <v>45139</v>
      </c>
      <c r="I65" s="2650"/>
      <c r="J65" s="2650"/>
      <c r="K65" s="1374" t="s">
        <v>1105</v>
      </c>
      <c r="L65" s="1374"/>
      <c r="M65" s="1373"/>
    </row>
    <row r="66" spans="2:20" ht="15.6">
      <c r="B66" s="1372"/>
      <c r="C66" s="2650" t="s">
        <v>1277</v>
      </c>
      <c r="D66" s="2650"/>
      <c r="E66" s="2650"/>
      <c r="F66" s="2650"/>
      <c r="G66" s="2650"/>
      <c r="H66" s="2651">
        <v>45627</v>
      </c>
      <c r="I66" s="2650"/>
      <c r="J66" s="2650"/>
      <c r="K66" s="1374"/>
      <c r="L66" s="1374"/>
      <c r="M66" s="1373"/>
    </row>
    <row r="67" spans="2:20" ht="15.6">
      <c r="B67" s="1372"/>
      <c r="C67" s="2655" t="s">
        <v>914</v>
      </c>
      <c r="D67" s="2655"/>
      <c r="E67" s="2655"/>
      <c r="F67" s="2655"/>
      <c r="G67" s="2655"/>
      <c r="H67" s="2655"/>
      <c r="I67" s="2655"/>
      <c r="J67" s="2655"/>
      <c r="K67" s="2652"/>
      <c r="L67" s="2652"/>
      <c r="M67" s="1373"/>
    </row>
    <row r="68" spans="2:20" ht="15" customHeight="1">
      <c r="B68" s="1375"/>
      <c r="C68" s="2655" t="s">
        <v>914</v>
      </c>
      <c r="D68" s="2655"/>
      <c r="E68" s="2655"/>
      <c r="F68" s="2655"/>
      <c r="G68" s="2655"/>
      <c r="H68" s="2655"/>
      <c r="I68" s="2655"/>
      <c r="J68" s="2655"/>
      <c r="K68" s="2652"/>
      <c r="L68" s="2652"/>
      <c r="M68" s="1373"/>
      <c r="O68" s="2659"/>
      <c r="T68" s="1376"/>
    </row>
    <row r="69" spans="2:20" ht="14.25" customHeight="1">
      <c r="B69" s="1375"/>
      <c r="C69" s="2655" t="s">
        <v>914</v>
      </c>
      <c r="D69" s="2655"/>
      <c r="E69" s="2655"/>
      <c r="F69" s="2655"/>
      <c r="G69" s="2655"/>
      <c r="H69" s="2655"/>
      <c r="I69" s="2655"/>
      <c r="J69" s="2655"/>
      <c r="K69" s="2652"/>
      <c r="L69" s="2652"/>
      <c r="M69" s="1373"/>
      <c r="O69" s="2659"/>
    </row>
    <row r="70" spans="2:20" ht="16.2" thickBot="1">
      <c r="B70" s="1377"/>
      <c r="C70" s="2660" t="s">
        <v>914</v>
      </c>
      <c r="D70" s="2660"/>
      <c r="E70" s="2660"/>
      <c r="F70" s="2660"/>
      <c r="G70" s="2660"/>
      <c r="H70" s="2660"/>
      <c r="I70" s="2660"/>
      <c r="J70" s="2660"/>
      <c r="K70" s="2661"/>
      <c r="L70" s="2661"/>
      <c r="M70" s="1378"/>
      <c r="O70" s="2659"/>
    </row>
    <row r="71" spans="2:20" ht="18.600000000000001">
      <c r="B71" s="1335"/>
      <c r="C71" s="1336"/>
      <c r="D71" s="1336"/>
      <c r="E71" s="1336"/>
      <c r="F71" s="1337"/>
      <c r="G71" s="1338"/>
      <c r="H71" s="1337"/>
      <c r="I71" s="1379"/>
      <c r="J71" s="1340"/>
      <c r="K71" s="1340"/>
      <c r="L71" s="1340"/>
      <c r="M71" s="1340"/>
    </row>
    <row r="72" spans="2:20" ht="18.75" customHeight="1">
      <c r="B72" s="1380"/>
      <c r="C72" s="1380"/>
      <c r="D72" s="1380"/>
      <c r="E72" s="1380"/>
      <c r="F72" s="1381"/>
      <c r="G72" s="1338"/>
      <c r="H72" s="1337"/>
      <c r="I72" s="1379"/>
      <c r="J72" s="1340"/>
      <c r="K72" s="1340"/>
      <c r="L72" s="1340"/>
      <c r="M72" s="1340"/>
    </row>
    <row r="73" spans="2:20" ht="18.600000000000001">
      <c r="B73" s="1380"/>
      <c r="C73" s="1380"/>
      <c r="D73" s="1380"/>
      <c r="E73" s="1380"/>
      <c r="F73" s="1381"/>
      <c r="G73" s="1338"/>
      <c r="H73" s="1337"/>
      <c r="I73" s="1379"/>
      <c r="J73" s="1340"/>
      <c r="K73" s="1340"/>
      <c r="L73" s="1340"/>
      <c r="M73" s="1340"/>
    </row>
    <row r="74" spans="2:20" ht="19.2" thickBot="1">
      <c r="B74" s="1380"/>
      <c r="C74" s="1380"/>
      <c r="D74" s="1380"/>
      <c r="E74" s="1380"/>
      <c r="F74" s="1337"/>
      <c r="G74" s="1338"/>
      <c r="H74" s="1337"/>
      <c r="I74" s="1379"/>
      <c r="J74" s="1340"/>
      <c r="K74" s="1340"/>
      <c r="L74" s="1340"/>
      <c r="M74" s="1340"/>
    </row>
    <row r="75" spans="2:20" ht="18.600000000000001" thickBot="1">
      <c r="B75" s="2603" t="s">
        <v>628</v>
      </c>
      <c r="C75" s="2604"/>
      <c r="D75" s="2604"/>
      <c r="E75" s="2604"/>
      <c r="F75" s="2604"/>
      <c r="G75" s="2604"/>
      <c r="H75" s="2604"/>
      <c r="I75" s="2604"/>
      <c r="J75" s="2604"/>
      <c r="K75" s="2604"/>
      <c r="L75" s="2604"/>
      <c r="M75" s="2605"/>
      <c r="N75" s="2603" t="s">
        <v>1284</v>
      </c>
      <c r="O75" s="2604"/>
      <c r="P75" s="2604"/>
      <c r="Q75" s="2604"/>
      <c r="R75" s="2604"/>
      <c r="S75" s="2604"/>
      <c r="T75" s="2604"/>
    </row>
    <row r="76" spans="2:20" ht="18">
      <c r="B76" s="1382" t="s">
        <v>623</v>
      </c>
      <c r="C76" s="2653" t="s">
        <v>622</v>
      </c>
      <c r="D76" s="2653"/>
      <c r="E76" s="2653"/>
      <c r="F76" s="2653"/>
      <c r="G76" s="2653"/>
      <c r="H76" s="2653"/>
      <c r="I76" s="2653"/>
      <c r="J76" s="2653"/>
      <c r="K76" s="2653"/>
      <c r="L76" s="2653"/>
      <c r="M76" s="2654"/>
      <c r="N76" s="2411"/>
      <c r="O76" s="2412"/>
      <c r="P76" s="2412"/>
      <c r="Q76" s="2412"/>
      <c r="R76" s="2412"/>
      <c r="S76" s="2412"/>
      <c r="T76" s="2412"/>
    </row>
    <row r="77" spans="2:20" ht="18">
      <c r="B77" s="1383" t="s">
        <v>40</v>
      </c>
      <c r="C77" s="2411" t="s">
        <v>625</v>
      </c>
      <c r="D77" s="2412"/>
      <c r="E77" s="2412"/>
      <c r="F77" s="2412"/>
      <c r="G77" s="2412"/>
      <c r="H77" s="2412"/>
      <c r="I77" s="2412"/>
      <c r="J77" s="2412"/>
      <c r="K77" s="2412"/>
      <c r="L77" s="2412"/>
      <c r="M77" s="2412"/>
      <c r="N77" s="2411"/>
      <c r="O77" s="2412"/>
      <c r="P77" s="2412"/>
      <c r="Q77" s="2412"/>
      <c r="R77" s="2412"/>
      <c r="S77" s="2412"/>
      <c r="T77" s="2412"/>
    </row>
    <row r="78" spans="2:20" ht="54" customHeight="1">
      <c r="B78" s="1383" t="s">
        <v>40</v>
      </c>
      <c r="C78" s="2648" t="s">
        <v>1260</v>
      </c>
      <c r="D78" s="2649"/>
      <c r="E78" s="2649"/>
      <c r="F78" s="2649"/>
      <c r="G78" s="2649"/>
      <c r="H78" s="2649"/>
      <c r="I78" s="2649"/>
      <c r="J78" s="2649"/>
      <c r="K78" s="2649"/>
      <c r="L78" s="2649"/>
      <c r="M78" s="2649"/>
      <c r="N78" s="2411"/>
      <c r="O78" s="2412"/>
      <c r="P78" s="2412"/>
      <c r="Q78" s="2412"/>
      <c r="R78" s="2412"/>
      <c r="S78" s="2412"/>
      <c r="T78" s="2412"/>
    </row>
    <row r="79" spans="2:20" ht="122.25" customHeight="1">
      <c r="B79" s="1383" t="s">
        <v>40</v>
      </c>
      <c r="C79" s="2648" t="s">
        <v>1261</v>
      </c>
      <c r="D79" s="2649"/>
      <c r="E79" s="2649"/>
      <c r="F79" s="2649"/>
      <c r="G79" s="2649"/>
      <c r="H79" s="2649"/>
      <c r="I79" s="2649"/>
      <c r="J79" s="2649"/>
      <c r="K79" s="2649"/>
      <c r="L79" s="2649"/>
      <c r="M79" s="2649"/>
      <c r="N79" s="2662" t="s">
        <v>1011</v>
      </c>
      <c r="O79" s="2412"/>
      <c r="P79" s="2412"/>
      <c r="Q79" s="2412"/>
      <c r="R79" s="2412"/>
      <c r="S79" s="2412"/>
      <c r="T79" s="2412"/>
    </row>
    <row r="80" spans="2:20" ht="54.75" customHeight="1">
      <c r="B80" s="1383" t="s">
        <v>40</v>
      </c>
      <c r="C80" s="2656" t="s">
        <v>1264</v>
      </c>
      <c r="D80" s="2657"/>
      <c r="E80" s="2657"/>
      <c r="F80" s="2657"/>
      <c r="G80" s="2657"/>
      <c r="H80" s="2657"/>
      <c r="I80" s="2657"/>
      <c r="J80" s="2657"/>
      <c r="K80" s="2657"/>
      <c r="L80" s="2657"/>
      <c r="M80" s="2658"/>
      <c r="N80" s="2411"/>
      <c r="O80" s="2412"/>
      <c r="P80" s="2412"/>
      <c r="Q80" s="2412"/>
      <c r="R80" s="2412"/>
      <c r="S80" s="2412"/>
      <c r="T80" s="2412"/>
    </row>
    <row r="81" spans="1:37" ht="51" customHeight="1">
      <c r="B81" s="1383" t="s">
        <v>40</v>
      </c>
      <c r="C81" s="2656" t="s">
        <v>1262</v>
      </c>
      <c r="D81" s="2657"/>
      <c r="E81" s="2657"/>
      <c r="F81" s="2657"/>
      <c r="G81" s="2657"/>
      <c r="H81" s="2657"/>
      <c r="I81" s="2657"/>
      <c r="J81" s="2657"/>
      <c r="K81" s="2657"/>
      <c r="L81" s="2657"/>
      <c r="M81" s="2658"/>
      <c r="N81" s="2411"/>
      <c r="O81" s="2412"/>
      <c r="P81" s="2412"/>
      <c r="Q81" s="2412"/>
      <c r="R81" s="2412"/>
      <c r="S81" s="2412"/>
      <c r="T81" s="2412"/>
    </row>
    <row r="82" spans="1:37" ht="25.5" customHeight="1">
      <c r="B82" s="1732" t="s">
        <v>40</v>
      </c>
      <c r="C82" s="2656" t="str">
        <f>IF(ch_sondes=TRUE,"• PAC sur sondes : TRT et géomodélisation dynamique (sous-sol et surface, avec les logiciels FEELOW, EED, TRNSYS ou logiciel équivalent) si plus de 1000 ml","")</f>
        <v>• PAC sur sondes : TRT et géomodélisation dynamique (sous-sol et surface, avec les logiciels FEELOW, EED, TRNSYS ou logiciel équivalent) si plus de 1000 ml</v>
      </c>
      <c r="D82" s="2642"/>
      <c r="E82" s="2642"/>
      <c r="F82" s="2642"/>
      <c r="G82" s="2642"/>
      <c r="H82" s="2642"/>
      <c r="I82" s="2642"/>
      <c r="J82" s="2642"/>
      <c r="K82" s="2642"/>
      <c r="L82" s="2642"/>
      <c r="M82" s="2643"/>
      <c r="N82" s="2663" t="s">
        <v>1011</v>
      </c>
      <c r="O82" s="2664"/>
      <c r="P82" s="2664"/>
      <c r="Q82" s="2664"/>
      <c r="R82" s="2664"/>
      <c r="S82" s="2664"/>
      <c r="T82" s="2664"/>
    </row>
    <row r="83" spans="1:37" ht="42.75" customHeight="1">
      <c r="B83" s="1383" t="s">
        <v>998</v>
      </c>
      <c r="C83" s="2636" t="str">
        <f>IF(ch_nappe =TRUE, "• PAC sur aquifère superficiel (eau de nappe) : obligation d'avoir un BE fluide ET sous-sol (hydrogéologue)","")</f>
        <v/>
      </c>
      <c r="D83" s="2637"/>
      <c r="E83" s="2637"/>
      <c r="F83" s="2637"/>
      <c r="G83" s="2637"/>
      <c r="H83" s="2637"/>
      <c r="I83" s="2637"/>
      <c r="J83" s="2637"/>
      <c r="K83" s="2637"/>
      <c r="L83" s="2637"/>
      <c r="M83" s="2637"/>
      <c r="N83" s="2411"/>
      <c r="O83" s="2412"/>
      <c r="P83" s="2412"/>
      <c r="Q83" s="2412"/>
      <c r="R83" s="2412"/>
      <c r="S83" s="2412"/>
      <c r="T83" s="2412"/>
    </row>
    <row r="84" spans="1:37" ht="42.75" customHeight="1">
      <c r="B84" s="1383" t="s">
        <v>998</v>
      </c>
      <c r="C84" s="2641" t="str">
        <f>IF(ch_nappe =TRUE, "• PAC sur aquifère superficiel (eau de nappe) : rapport d'essais le cas échéant","")</f>
        <v/>
      </c>
      <c r="D84" s="2642"/>
      <c r="E84" s="2642"/>
      <c r="F84" s="2642"/>
      <c r="G84" s="2642"/>
      <c r="H84" s="2642"/>
      <c r="I84" s="2642"/>
      <c r="J84" s="2642"/>
      <c r="K84" s="2642"/>
      <c r="L84" s="2642"/>
      <c r="M84" s="2643"/>
      <c r="N84" s="2411"/>
      <c r="O84" s="2412"/>
      <c r="P84" s="2412"/>
      <c r="Q84" s="2412"/>
      <c r="R84" s="2412"/>
      <c r="S84" s="2412"/>
      <c r="T84" s="2412"/>
    </row>
    <row r="85" spans="1:37" ht="42.75" customHeight="1">
      <c r="B85" s="1383" t="s">
        <v>40</v>
      </c>
      <c r="C85" s="2636" t="str">
        <f>IF(OR('Fiche projet géothermie'!ch_eauxusees=TRUE),"",  "• Attestation RGE (soit études des ressources géothermiques, soit études de conception, soit les études de réalisation). Elle doit être valide au moment de la réalisation; les attestations provisoires sont acceptées.")</f>
        <v>• Attestation RGE (soit études des ressources géothermiques, soit études de conception, soit les études de réalisation). Elle doit être valide au moment de la réalisation; les attestations provisoires sont acceptées.</v>
      </c>
      <c r="D85" s="2637"/>
      <c r="E85" s="2637"/>
      <c r="F85" s="2637"/>
      <c r="G85" s="2637"/>
      <c r="H85" s="2637"/>
      <c r="I85" s="2637"/>
      <c r="J85" s="2637"/>
      <c r="K85" s="2637"/>
      <c r="L85" s="2637"/>
      <c r="M85" s="2637"/>
      <c r="N85" s="2411"/>
      <c r="O85" s="2412"/>
      <c r="P85" s="2412"/>
      <c r="Q85" s="2412"/>
      <c r="R85" s="2412"/>
      <c r="S85" s="2412"/>
      <c r="T85" s="2412"/>
    </row>
    <row r="86" spans="1:37" ht="42.75" customHeight="1">
      <c r="B86" s="1383" t="s">
        <v>40</v>
      </c>
      <c r="C86" s="2641" t="s">
        <v>1265</v>
      </c>
      <c r="D86" s="2642"/>
      <c r="E86" s="2642"/>
      <c r="F86" s="2642"/>
      <c r="G86" s="2642"/>
      <c r="H86" s="2642"/>
      <c r="I86" s="2642"/>
      <c r="J86" s="2642"/>
      <c r="K86" s="2642"/>
      <c r="L86" s="2642"/>
      <c r="M86" s="2643"/>
      <c r="N86" s="2411"/>
      <c r="O86" s="2412"/>
      <c r="P86" s="2412"/>
      <c r="Q86" s="2412"/>
      <c r="R86" s="2412"/>
      <c r="S86" s="2412"/>
      <c r="T86" s="2412"/>
    </row>
    <row r="87" spans="1:37" ht="32.25" customHeight="1">
      <c r="B87" s="1383" t="s">
        <v>40</v>
      </c>
      <c r="C87" s="2636" t="s">
        <v>1168</v>
      </c>
      <c r="D87" s="2637"/>
      <c r="E87" s="2637"/>
      <c r="F87" s="2637"/>
      <c r="G87" s="2637"/>
      <c r="H87" s="2637"/>
      <c r="I87" s="2637"/>
      <c r="J87" s="2637"/>
      <c r="K87" s="2637"/>
      <c r="L87" s="2637"/>
      <c r="M87" s="2637"/>
      <c r="N87" s="2411"/>
      <c r="O87" s="2412"/>
      <c r="P87" s="2412"/>
      <c r="Q87" s="2412"/>
      <c r="R87" s="2412"/>
      <c r="S87" s="2412"/>
      <c r="T87" s="2412"/>
    </row>
    <row r="88" spans="1:37" s="1308" customFormat="1" ht="18">
      <c r="B88" s="1383" t="s">
        <v>998</v>
      </c>
      <c r="C88" s="2636" t="s">
        <v>1169</v>
      </c>
      <c r="D88" s="2637"/>
      <c r="E88" s="2637"/>
      <c r="F88" s="2637"/>
      <c r="G88" s="2637"/>
      <c r="H88" s="2637"/>
      <c r="I88" s="2637"/>
      <c r="J88" s="2637"/>
      <c r="K88" s="2637"/>
      <c r="L88" s="2637"/>
      <c r="M88" s="2637"/>
      <c r="N88" s="2411"/>
      <c r="O88" s="2412"/>
      <c r="P88" s="2412"/>
      <c r="Q88" s="2412"/>
      <c r="R88" s="2412"/>
      <c r="S88" s="2412"/>
      <c r="T88" s="2412"/>
      <c r="U88" s="1324"/>
      <c r="V88" s="1317"/>
      <c r="W88" s="1317"/>
      <c r="X88" s="1317"/>
      <c r="Y88" s="1317"/>
      <c r="Z88" s="1317"/>
      <c r="AA88" s="1317"/>
      <c r="AB88" s="1317"/>
      <c r="AC88" s="1317"/>
      <c r="AD88" s="1317"/>
      <c r="AE88" s="1317"/>
      <c r="AF88" s="1317"/>
      <c r="AG88" s="1317"/>
      <c r="AH88" s="1317"/>
      <c r="AI88" s="1317"/>
      <c r="AJ88" s="1317"/>
      <c r="AK88" s="1317"/>
    </row>
    <row r="89" spans="1:37" ht="15" customHeight="1">
      <c r="A89" s="1316"/>
      <c r="B89" s="1316"/>
      <c r="C89" s="1316"/>
      <c r="D89" s="1316"/>
      <c r="E89" s="1316"/>
      <c r="F89" s="1316"/>
      <c r="G89" s="1316"/>
      <c r="H89" s="1316"/>
      <c r="I89" s="1316"/>
      <c r="J89" s="1316"/>
      <c r="K89" s="1316"/>
      <c r="L89" s="1316"/>
      <c r="M89" s="1316"/>
    </row>
    <row r="90" spans="1:37" ht="15" customHeight="1">
      <c r="A90" s="1316"/>
      <c r="B90" s="1316"/>
      <c r="C90" s="1316"/>
      <c r="D90" s="1316"/>
      <c r="E90" s="1316"/>
      <c r="F90" s="1316"/>
      <c r="G90" s="1316"/>
      <c r="H90" s="1316"/>
      <c r="I90" s="1316"/>
      <c r="J90" s="1316"/>
      <c r="K90" s="1316"/>
      <c r="L90" s="1316"/>
      <c r="M90" s="1316"/>
    </row>
    <row r="91" spans="1:37" ht="15" customHeight="1">
      <c r="A91" s="1316"/>
      <c r="B91" s="1316"/>
      <c r="C91" s="1316"/>
      <c r="D91" s="1316"/>
      <c r="E91" s="1316"/>
      <c r="F91" s="1316"/>
      <c r="G91" s="1316"/>
      <c r="H91" s="1316"/>
      <c r="I91" s="1316"/>
      <c r="J91" s="1316"/>
      <c r="K91" s="1316"/>
      <c r="L91" s="1316"/>
      <c r="M91" s="1316"/>
    </row>
    <row r="92" spans="1:37" ht="15" customHeight="1">
      <c r="A92" s="1316"/>
      <c r="B92" s="1316"/>
      <c r="C92" s="1316"/>
      <c r="D92" s="1316"/>
      <c r="E92" s="1316"/>
      <c r="F92" s="1316"/>
      <c r="G92" s="1316"/>
      <c r="H92" s="1316"/>
      <c r="I92" s="1316"/>
      <c r="J92" s="1316"/>
      <c r="K92" s="1316"/>
      <c r="L92" s="1316"/>
      <c r="M92" s="1316"/>
    </row>
    <row r="93" spans="1:37">
      <c r="A93" s="1384"/>
      <c r="B93" s="1384"/>
      <c r="C93" s="1384"/>
      <c r="D93" s="1384"/>
      <c r="E93" s="1384"/>
      <c r="F93" s="1384"/>
      <c r="G93" s="1384"/>
      <c r="H93" s="1384"/>
      <c r="I93" s="1384"/>
      <c r="J93" s="1384"/>
      <c r="K93" s="1384"/>
      <c r="L93" s="1384"/>
      <c r="M93" s="1385"/>
    </row>
    <row r="94" spans="1:37" ht="15" thickBot="1">
      <c r="A94" s="1384"/>
      <c r="B94" s="1384"/>
      <c r="C94" s="1384"/>
      <c r="D94" s="1384"/>
      <c r="E94" s="1384"/>
      <c r="F94" s="1384"/>
      <c r="G94" s="1384"/>
      <c r="H94" s="1384"/>
      <c r="I94" s="1384"/>
      <c r="J94" s="1384"/>
      <c r="K94" s="1384"/>
      <c r="L94" s="1384"/>
      <c r="M94" s="1385"/>
    </row>
    <row r="95" spans="1:37" s="1308" customFormat="1" ht="18">
      <c r="B95" s="2441" t="s">
        <v>1086</v>
      </c>
      <c r="C95" s="2442"/>
      <c r="D95" s="2442"/>
      <c r="E95" s="2442"/>
      <c r="F95" s="2442"/>
      <c r="G95" s="2442"/>
      <c r="H95" s="2442"/>
      <c r="I95" s="2442"/>
      <c r="J95" s="2442"/>
      <c r="K95" s="2442"/>
      <c r="L95" s="2442"/>
      <c r="M95" s="2613"/>
      <c r="N95" s="1316"/>
      <c r="O95" s="1316"/>
      <c r="P95" s="1316"/>
      <c r="Q95" s="1316"/>
      <c r="R95" s="1316"/>
      <c r="U95" s="1324"/>
      <c r="V95" s="1317"/>
      <c r="W95" s="1317"/>
      <c r="X95" s="1317"/>
      <c r="Y95" s="1317"/>
      <c r="Z95" s="1317"/>
      <c r="AA95" s="1317"/>
      <c r="AB95" s="1317"/>
      <c r="AC95" s="1317"/>
      <c r="AD95" s="1317"/>
      <c r="AE95" s="1317"/>
      <c r="AF95" s="1317"/>
      <c r="AG95" s="1317"/>
      <c r="AH95" s="1317"/>
      <c r="AI95" s="1317"/>
      <c r="AJ95" s="1317"/>
      <c r="AK95" s="1317"/>
    </row>
    <row r="96" spans="1:37" ht="18">
      <c r="B96" s="2779" t="s">
        <v>162</v>
      </c>
      <c r="C96" s="2779"/>
      <c r="D96" s="2779"/>
      <c r="E96" s="2779"/>
      <c r="F96" s="2779"/>
      <c r="G96" s="2779"/>
      <c r="H96" s="2779"/>
      <c r="I96" s="2779"/>
      <c r="J96" s="2779"/>
      <c r="K96" s="2779"/>
      <c r="L96" s="2779"/>
      <c r="M96" s="2779"/>
    </row>
    <row r="97" spans="2:13" ht="15" hidden="1" customHeight="1">
      <c r="B97" s="2780" t="s">
        <v>138</v>
      </c>
      <c r="C97" s="2780"/>
      <c r="D97" s="2780"/>
      <c r="E97" s="2780"/>
      <c r="F97" s="2780"/>
      <c r="G97" s="2780"/>
      <c r="H97" s="2780"/>
      <c r="I97" s="1386">
        <f>COUNTIF(G102:R102,"Existant")+COUNTIF(G102:R102,"Abandonné pour le projet")</f>
        <v>1</v>
      </c>
      <c r="J97" s="2781"/>
      <c r="K97" s="2781"/>
      <c r="L97" s="2781"/>
      <c r="M97" s="2781"/>
    </row>
    <row r="98" spans="2:13" ht="15" customHeight="1">
      <c r="B98" s="2782" t="s">
        <v>140</v>
      </c>
      <c r="C98" s="2782"/>
      <c r="D98" s="2782"/>
      <c r="E98" s="2782"/>
      <c r="F98" s="2782"/>
      <c r="G98" s="2782"/>
      <c r="H98" s="2782"/>
      <c r="I98" s="1726">
        <v>3</v>
      </c>
      <c r="J98" s="2781"/>
      <c r="K98" s="2781"/>
      <c r="L98" s="2781"/>
      <c r="M98" s="2781"/>
    </row>
    <row r="99" spans="2:13">
      <c r="B99" s="2433" t="s">
        <v>366</v>
      </c>
      <c r="C99" s="2433"/>
      <c r="D99" s="2433"/>
      <c r="E99" s="2433"/>
      <c r="F99" s="2433"/>
      <c r="G99" s="1387" t="s">
        <v>1280</v>
      </c>
      <c r="H99" s="1388"/>
      <c r="I99" s="1388"/>
      <c r="J99" s="1388"/>
      <c r="K99" s="1388"/>
      <c r="L99" s="1388"/>
      <c r="M99" s="1388"/>
    </row>
    <row r="100" spans="2:13" ht="48.75" customHeight="1">
      <c r="B100" s="2433" t="s">
        <v>9</v>
      </c>
      <c r="C100" s="2433"/>
      <c r="D100" s="2433"/>
      <c r="E100" s="2433"/>
      <c r="F100" s="2433"/>
      <c r="G100" s="1567" t="s">
        <v>1266</v>
      </c>
      <c r="H100" s="1567"/>
      <c r="I100" s="1567"/>
      <c r="J100" s="1567"/>
      <c r="K100" s="1567"/>
      <c r="L100" s="1567"/>
      <c r="M100" s="1567"/>
    </row>
    <row r="101" spans="2:13" ht="39.75" customHeight="1">
      <c r="B101" s="2640" t="s">
        <v>588</v>
      </c>
      <c r="C101" s="2640"/>
      <c r="D101" s="2640"/>
      <c r="E101" s="2640"/>
      <c r="F101" s="2640"/>
      <c r="G101" s="1567" t="s">
        <v>1044</v>
      </c>
      <c r="H101" s="1568"/>
      <c r="I101" s="1568"/>
      <c r="J101" s="1568"/>
      <c r="K101" s="1568"/>
      <c r="L101" s="1568"/>
      <c r="M101" s="1568"/>
    </row>
    <row r="102" spans="2:13" ht="15.75" customHeight="1">
      <c r="B102" s="2433" t="s">
        <v>165</v>
      </c>
      <c r="C102" s="2433"/>
      <c r="D102" s="2433"/>
      <c r="E102" s="2433"/>
      <c r="F102" s="2433"/>
      <c r="G102" s="1567" t="s">
        <v>75</v>
      </c>
      <c r="H102" s="1567"/>
      <c r="I102" s="1567"/>
      <c r="J102" s="1567"/>
      <c r="K102" s="1567"/>
      <c r="L102" s="1567"/>
      <c r="M102" s="1567"/>
    </row>
    <row r="103" spans="2:13" ht="17.399999999999999">
      <c r="B103" s="2638" t="s">
        <v>816</v>
      </c>
      <c r="C103" s="2638"/>
      <c r="D103" s="2638"/>
      <c r="E103" s="2638"/>
      <c r="F103" s="2638"/>
      <c r="G103" s="2638"/>
      <c r="H103" s="2638"/>
      <c r="I103" s="2638"/>
      <c r="J103" s="2638"/>
      <c r="K103" s="2638"/>
      <c r="L103" s="2638"/>
      <c r="M103" s="2638"/>
    </row>
    <row r="104" spans="2:13">
      <c r="B104" s="2783"/>
      <c r="C104" s="2783"/>
      <c r="D104" s="2783"/>
      <c r="E104" s="2783"/>
      <c r="F104" s="1389" t="s">
        <v>72</v>
      </c>
      <c r="G104" s="2784" t="s">
        <v>213</v>
      </c>
      <c r="H104" s="2784"/>
      <c r="I104" s="2784"/>
      <c r="J104" s="2784"/>
      <c r="K104" s="2784"/>
      <c r="L104" s="2784"/>
      <c r="M104" s="2784"/>
    </row>
    <row r="105" spans="2:13" ht="18">
      <c r="B105" s="2627" t="s">
        <v>73</v>
      </c>
      <c r="C105" s="2627"/>
      <c r="D105" s="2627"/>
      <c r="E105" s="1390" t="s">
        <v>108</v>
      </c>
      <c r="F105" s="1391">
        <f>SUM(G105:M105)</f>
        <v>0</v>
      </c>
      <c r="G105" s="1392">
        <f>0</f>
        <v>0</v>
      </c>
      <c r="H105" s="1392">
        <f>0</f>
        <v>0</v>
      </c>
      <c r="I105" s="1392">
        <f>0</f>
        <v>0</v>
      </c>
      <c r="J105" s="1392">
        <f>0</f>
        <v>0</v>
      </c>
      <c r="K105" s="1392">
        <f>0</f>
        <v>0</v>
      </c>
      <c r="L105" s="1392">
        <f>0</f>
        <v>0</v>
      </c>
      <c r="M105" s="1392">
        <f>0</f>
        <v>0</v>
      </c>
    </row>
    <row r="106" spans="2:13" ht="15" customHeight="1">
      <c r="B106" s="2639" t="s">
        <v>1219</v>
      </c>
      <c r="C106" s="2639"/>
      <c r="D106" s="2639"/>
      <c r="E106" s="1390" t="s">
        <v>29</v>
      </c>
      <c r="F106" s="1393">
        <f>SUM(F107:F110)</f>
        <v>0</v>
      </c>
      <c r="G106" s="1394" t="s">
        <v>1011</v>
      </c>
      <c r="H106" s="1394"/>
      <c r="I106" s="1394"/>
      <c r="J106" s="1394"/>
      <c r="K106" s="1394"/>
      <c r="L106" s="1394"/>
      <c r="M106" s="1394"/>
    </row>
    <row r="107" spans="2:13" ht="18">
      <c r="B107" s="2410" t="s">
        <v>1110</v>
      </c>
      <c r="C107" s="2410"/>
      <c r="D107" s="2410"/>
      <c r="E107" s="1395" t="s">
        <v>29</v>
      </c>
      <c r="F107" s="1393">
        <f>SUM(G107:L107)</f>
        <v>0</v>
      </c>
      <c r="G107" s="1396">
        <f>0</f>
        <v>0</v>
      </c>
      <c r="H107" s="1396">
        <f>0</f>
        <v>0</v>
      </c>
      <c r="I107" s="1396"/>
      <c r="J107" s="1396"/>
      <c r="K107" s="1396"/>
      <c r="L107" s="1396"/>
      <c r="M107" s="1396"/>
    </row>
    <row r="108" spans="2:13" ht="18">
      <c r="B108" s="2410" t="s">
        <v>1111</v>
      </c>
      <c r="C108" s="2410"/>
      <c r="D108" s="2410"/>
      <c r="E108" s="1395" t="s">
        <v>29</v>
      </c>
      <c r="F108" s="1393">
        <f t="shared" ref="F108:F115" si="0">SUM(G108:L108)</f>
        <v>0</v>
      </c>
      <c r="G108" s="1396">
        <f>0</f>
        <v>0</v>
      </c>
      <c r="H108" s="1396"/>
      <c r="I108" s="1396"/>
      <c r="J108" s="1396"/>
      <c r="K108" s="1396"/>
      <c r="L108" s="1396"/>
      <c r="M108" s="1396"/>
    </row>
    <row r="109" spans="2:13" ht="18">
      <c r="B109" s="2410" t="s">
        <v>1112</v>
      </c>
      <c r="C109" s="2410"/>
      <c r="D109" s="2410"/>
      <c r="E109" s="1395" t="s">
        <v>29</v>
      </c>
      <c r="F109" s="1393">
        <f t="shared" si="0"/>
        <v>0</v>
      </c>
      <c r="G109" s="1396">
        <f>0</f>
        <v>0</v>
      </c>
      <c r="H109" s="1396"/>
      <c r="I109" s="1396"/>
      <c r="J109" s="1396"/>
      <c r="K109" s="1396"/>
      <c r="L109" s="1396"/>
      <c r="M109" s="1396"/>
    </row>
    <row r="110" spans="2:13" ht="18">
      <c r="B110" s="2410" t="s">
        <v>1113</v>
      </c>
      <c r="C110" s="2410"/>
      <c r="D110" s="2410"/>
      <c r="E110" s="1395" t="s">
        <v>29</v>
      </c>
      <c r="F110" s="1393">
        <f t="shared" si="0"/>
        <v>0</v>
      </c>
      <c r="G110" s="1396">
        <f>0</f>
        <v>0</v>
      </c>
      <c r="H110" s="1396"/>
      <c r="I110" s="1396"/>
      <c r="J110" s="1396"/>
      <c r="K110" s="1396"/>
      <c r="L110" s="1396"/>
      <c r="M110" s="1396"/>
    </row>
    <row r="111" spans="2:13" ht="18">
      <c r="B111" s="2469" t="s">
        <v>1303</v>
      </c>
      <c r="C111" s="2469"/>
      <c r="D111" s="2469"/>
      <c r="E111" s="1395" t="s">
        <v>29</v>
      </c>
      <c r="F111" s="1393">
        <f>SUM(G111:L111)</f>
        <v>0</v>
      </c>
      <c r="G111" s="1396">
        <f>G112+G113+G114+G115</f>
        <v>0</v>
      </c>
      <c r="H111" s="1396">
        <v>0</v>
      </c>
      <c r="I111" s="1396"/>
      <c r="J111" s="1396"/>
      <c r="K111" s="1396"/>
      <c r="L111" s="1396"/>
      <c r="M111" s="1396"/>
    </row>
    <row r="112" spans="2:13" ht="18">
      <c r="B112" s="2410" t="s">
        <v>1281</v>
      </c>
      <c r="C112" s="2410"/>
      <c r="D112" s="2410"/>
      <c r="E112" s="1395"/>
      <c r="F112" s="1393">
        <f>SUM(G112:L112)</f>
        <v>0</v>
      </c>
      <c r="G112" s="1396">
        <f>0</f>
        <v>0</v>
      </c>
      <c r="H112" s="1396">
        <f>0</f>
        <v>0</v>
      </c>
      <c r="I112" s="1396"/>
      <c r="J112" s="1396"/>
      <c r="K112" s="1396"/>
      <c r="L112" s="1396"/>
      <c r="M112" s="1396"/>
    </row>
    <row r="113" spans="1:37" ht="23.25" customHeight="1">
      <c r="B113" s="2410" t="s">
        <v>1120</v>
      </c>
      <c r="C113" s="2410"/>
      <c r="D113" s="2410"/>
      <c r="E113" s="1395" t="s">
        <v>29</v>
      </c>
      <c r="F113" s="1393">
        <f t="shared" si="0"/>
        <v>0</v>
      </c>
      <c r="G113" s="1396">
        <f>0</f>
        <v>0</v>
      </c>
      <c r="H113" s="1396"/>
      <c r="I113" s="1396"/>
      <c r="J113" s="1396"/>
      <c r="K113" s="1396"/>
      <c r="L113" s="1396"/>
      <c r="M113" s="1396"/>
    </row>
    <row r="114" spans="1:37" ht="23.25" customHeight="1">
      <c r="B114" s="2410" t="s">
        <v>1298</v>
      </c>
      <c r="C114" s="2410"/>
      <c r="D114" s="2410"/>
      <c r="E114" s="1395" t="s">
        <v>29</v>
      </c>
      <c r="F114" s="1393">
        <f t="shared" si="0"/>
        <v>0</v>
      </c>
      <c r="G114" s="1396">
        <f>0</f>
        <v>0</v>
      </c>
      <c r="H114" s="1396"/>
      <c r="I114" s="1396"/>
      <c r="J114" s="1396"/>
      <c r="K114" s="1396"/>
      <c r="L114" s="1396"/>
      <c r="M114" s="1396"/>
    </row>
    <row r="115" spans="1:37" ht="18">
      <c r="B115" s="2624" t="s">
        <v>198</v>
      </c>
      <c r="C115" s="2625"/>
      <c r="D115" s="2626"/>
      <c r="E115" s="1395" t="s">
        <v>29</v>
      </c>
      <c r="F115" s="1393">
        <f t="shared" si="0"/>
        <v>0</v>
      </c>
      <c r="G115" s="1396"/>
      <c r="H115" s="1396"/>
      <c r="I115" s="1396"/>
      <c r="J115" s="1396"/>
      <c r="K115" s="1396"/>
      <c r="L115" s="1396"/>
      <c r="M115" s="1396"/>
      <c r="AD115" s="1308"/>
      <c r="AE115" s="1308"/>
      <c r="AF115" s="1308"/>
      <c r="AG115" s="1308"/>
      <c r="AH115" s="1308"/>
      <c r="AI115" s="1308"/>
      <c r="AJ115" s="1308"/>
      <c r="AK115" s="1308"/>
    </row>
    <row r="116" spans="1:37" ht="15" customHeight="1">
      <c r="B116" s="2627" t="s">
        <v>832</v>
      </c>
      <c r="C116" s="2627"/>
      <c r="D116" s="2627"/>
      <c r="E116" s="1390" t="s">
        <v>53</v>
      </c>
      <c r="F116" s="1397"/>
      <c r="G116" s="1398"/>
      <c r="H116" s="1398"/>
      <c r="I116" s="1398"/>
      <c r="J116" s="1398"/>
      <c r="K116" s="1398"/>
      <c r="L116" s="1398"/>
      <c r="M116" s="1398"/>
      <c r="AD116" s="1308"/>
      <c r="AE116" s="1308"/>
      <c r="AF116" s="1308"/>
      <c r="AG116" s="1308"/>
      <c r="AH116" s="1308"/>
      <c r="AI116" s="1308"/>
      <c r="AJ116" s="1308"/>
      <c r="AK116" s="1308"/>
    </row>
    <row r="117" spans="1:37" ht="15" customHeight="1">
      <c r="A117" s="1316"/>
      <c r="B117" s="2410" t="s">
        <v>833</v>
      </c>
      <c r="C117" s="2410"/>
      <c r="D117" s="2410"/>
      <c r="E117" s="1395" t="s">
        <v>53</v>
      </c>
      <c r="F117" s="1399">
        <f t="shared" ref="F117:F119" si="1">SUM(G117:L117)</f>
        <v>0</v>
      </c>
      <c r="G117" s="1398">
        <f>0</f>
        <v>0</v>
      </c>
      <c r="H117" s="1398"/>
      <c r="I117" s="1398"/>
      <c r="J117" s="1398"/>
      <c r="K117" s="1398"/>
      <c r="L117" s="1398"/>
      <c r="M117" s="1398"/>
    </row>
    <row r="118" spans="1:37" ht="18">
      <c r="A118" s="1316"/>
      <c r="B118" s="2410" t="s">
        <v>834</v>
      </c>
      <c r="C118" s="2410"/>
      <c r="D118" s="2410"/>
      <c r="E118" s="1395" t="s">
        <v>53</v>
      </c>
      <c r="F118" s="1399">
        <f t="shared" si="1"/>
        <v>0</v>
      </c>
      <c r="G118" s="1398">
        <f>0</f>
        <v>0</v>
      </c>
      <c r="H118" s="1398"/>
      <c r="I118" s="1398"/>
      <c r="J118" s="1398"/>
      <c r="K118" s="1398"/>
      <c r="L118" s="1398"/>
      <c r="M118" s="1398"/>
    </row>
    <row r="119" spans="1:37" ht="15" customHeight="1">
      <c r="A119" s="1316"/>
      <c r="B119" s="2410" t="s">
        <v>835</v>
      </c>
      <c r="C119" s="2410"/>
      <c r="D119" s="2410"/>
      <c r="E119" s="1395" t="s">
        <v>53</v>
      </c>
      <c r="F119" s="1399">
        <f t="shared" si="1"/>
        <v>0</v>
      </c>
      <c r="G119" s="1398">
        <f>0</f>
        <v>0</v>
      </c>
      <c r="H119" s="1398"/>
      <c r="I119" s="1398"/>
      <c r="J119" s="1398"/>
      <c r="K119" s="1398"/>
      <c r="L119" s="1398"/>
      <c r="M119" s="1398"/>
    </row>
    <row r="120" spans="1:37" ht="15" customHeight="1">
      <c r="A120" s="1316"/>
      <c r="B120" s="2623" t="s">
        <v>836</v>
      </c>
      <c r="C120" s="2623"/>
      <c r="D120" s="2623"/>
      <c r="E120" s="1400" t="s">
        <v>53</v>
      </c>
      <c r="F120" s="1399">
        <f>SUM(G120:L120)</f>
        <v>0</v>
      </c>
      <c r="G120" s="1401"/>
      <c r="H120" s="1398"/>
      <c r="I120" s="1398"/>
      <c r="J120" s="1398"/>
      <c r="K120" s="1398"/>
      <c r="L120" s="1398"/>
      <c r="M120" s="1398"/>
    </row>
    <row r="121" spans="1:37" ht="15" customHeight="1">
      <c r="A121" s="1316"/>
      <c r="B121" s="2630" t="s">
        <v>1286</v>
      </c>
      <c r="C121" s="2630"/>
      <c r="D121" s="2630"/>
      <c r="E121" s="2630"/>
      <c r="F121" s="2630"/>
      <c r="G121" s="1402"/>
      <c r="H121" s="1403"/>
      <c r="I121" s="1403"/>
      <c r="J121" s="1403"/>
      <c r="K121" s="1403"/>
      <c r="L121" s="1403"/>
      <c r="M121" s="1403"/>
    </row>
    <row r="122" spans="1:37" ht="15" customHeight="1">
      <c r="A122" s="1316"/>
      <c r="B122" s="2627" t="s">
        <v>1122</v>
      </c>
      <c r="C122" s="2627"/>
      <c r="D122" s="2627"/>
      <c r="E122" s="2627"/>
      <c r="F122" s="1397"/>
      <c r="G122" s="1572" t="s">
        <v>40</v>
      </c>
      <c r="H122" s="1550"/>
      <c r="I122" s="1550"/>
      <c r="J122" s="1550"/>
      <c r="K122" s="1550"/>
      <c r="L122" s="1550"/>
      <c r="M122" s="1550"/>
    </row>
    <row r="123" spans="1:37" ht="18">
      <c r="A123" s="1316"/>
      <c r="B123" s="2627" t="s">
        <v>1172</v>
      </c>
      <c r="C123" s="2627"/>
      <c r="D123" s="2627"/>
      <c r="E123" s="2627"/>
      <c r="F123" s="1393"/>
      <c r="G123" s="1396">
        <v>61.3</v>
      </c>
      <c r="H123" s="1396"/>
      <c r="I123" s="1396"/>
      <c r="J123" s="1396"/>
      <c r="K123" s="1396"/>
      <c r="L123" s="1396"/>
      <c r="M123" s="1396"/>
    </row>
    <row r="124" spans="1:37" ht="18">
      <c r="A124" s="1316"/>
      <c r="B124" s="2631" t="s">
        <v>1173</v>
      </c>
      <c r="C124" s="2409"/>
      <c r="D124" s="2409"/>
      <c r="E124" s="2632"/>
      <c r="F124" s="1393"/>
      <c r="G124" s="1572" t="s">
        <v>40</v>
      </c>
      <c r="H124" s="1396"/>
      <c r="I124" s="1396"/>
      <c r="J124" s="1396"/>
      <c r="K124" s="1396"/>
      <c r="L124" s="1396"/>
      <c r="M124" s="1396"/>
    </row>
    <row r="125" spans="1:37" ht="18">
      <c r="A125" s="1316"/>
      <c r="B125" s="2627" t="s">
        <v>1123</v>
      </c>
      <c r="C125" s="2627"/>
      <c r="D125" s="2627"/>
      <c r="E125" s="2627"/>
      <c r="F125" s="1393"/>
      <c r="G125" s="1396"/>
      <c r="H125" s="1396"/>
      <c r="I125" s="1396"/>
      <c r="J125" s="1396"/>
      <c r="K125" s="1396"/>
      <c r="L125" s="1396"/>
      <c r="M125" s="1396"/>
    </row>
    <row r="126" spans="1:37" ht="18">
      <c r="A126" s="1316"/>
      <c r="B126" s="2627" t="s">
        <v>1174</v>
      </c>
      <c r="C126" s="2627"/>
      <c r="D126" s="2627"/>
      <c r="E126" s="2627"/>
      <c r="F126" s="1393"/>
      <c r="G126" s="1396"/>
      <c r="H126" s="1396"/>
      <c r="I126" s="1396"/>
      <c r="J126" s="1396"/>
      <c r="K126" s="1396"/>
      <c r="L126" s="1396"/>
      <c r="M126" s="1396"/>
    </row>
    <row r="127" spans="1:37" ht="15.75" customHeight="1">
      <c r="A127" s="1316"/>
      <c r="B127" s="2633" t="s">
        <v>1004</v>
      </c>
      <c r="C127" s="2634"/>
      <c r="D127" s="2634"/>
      <c r="E127" s="2635"/>
      <c r="F127" s="1553" t="s">
        <v>72</v>
      </c>
      <c r="G127" s="1405"/>
      <c r="H127" s="1406"/>
      <c r="I127" s="1406"/>
      <c r="J127" s="1406"/>
      <c r="K127" s="1406"/>
      <c r="L127" s="1406"/>
      <c r="M127" s="1406"/>
      <c r="N127" s="1406"/>
      <c r="O127" s="1406"/>
      <c r="P127" s="1406"/>
      <c r="Q127" s="1406"/>
      <c r="R127" s="1407"/>
    </row>
    <row r="128" spans="1:37" ht="43.5" customHeight="1">
      <c r="A128" s="1316"/>
      <c r="B128" s="2628" t="s">
        <v>1287</v>
      </c>
      <c r="C128" s="2628"/>
      <c r="D128" s="2628"/>
      <c r="E128" s="2628"/>
      <c r="F128" s="1571" t="s">
        <v>1158</v>
      </c>
      <c r="G128" s="1571" t="s">
        <v>1157</v>
      </c>
      <c r="H128" s="1571" t="s">
        <v>1158</v>
      </c>
      <c r="I128" s="1571" t="s">
        <v>1158</v>
      </c>
      <c r="J128" s="1571" t="s">
        <v>1158</v>
      </c>
      <c r="K128" s="1571" t="s">
        <v>1158</v>
      </c>
      <c r="L128" s="1571" t="s">
        <v>1158</v>
      </c>
      <c r="M128" s="1571"/>
      <c r="N128" s="1571"/>
      <c r="O128" s="1571"/>
      <c r="P128" s="1571"/>
      <c r="Q128" s="1571"/>
      <c r="R128" s="1571"/>
    </row>
    <row r="129" spans="1:45" ht="47.25" customHeight="1">
      <c r="A129" s="1316"/>
      <c r="B129" s="2629" t="s">
        <v>1160</v>
      </c>
      <c r="C129" s="2629"/>
      <c r="D129" s="2629"/>
      <c r="E129" s="2629"/>
      <c r="F129" s="1569" t="s">
        <v>1271</v>
      </c>
      <c r="G129" s="1569" t="s">
        <v>1271</v>
      </c>
      <c r="H129" s="1569" t="s">
        <v>1271</v>
      </c>
      <c r="I129" s="1569" t="s">
        <v>1159</v>
      </c>
      <c r="J129" s="1569" t="s">
        <v>1159</v>
      </c>
      <c r="K129" s="1569" t="s">
        <v>1159</v>
      </c>
      <c r="L129" s="1569"/>
      <c r="M129" s="1569"/>
      <c r="N129" s="1569"/>
      <c r="O129" s="1569"/>
      <c r="P129" s="1569"/>
      <c r="Q129" s="1569"/>
      <c r="R129" s="1569"/>
    </row>
    <row r="130" spans="1:45" ht="18.75" customHeight="1">
      <c r="A130" s="1316"/>
      <c r="B130" s="2474" t="s">
        <v>1288</v>
      </c>
      <c r="C130" s="2474"/>
      <c r="D130" s="2474"/>
      <c r="E130" s="1408" t="s">
        <v>163</v>
      </c>
      <c r="F130" s="1551">
        <f>SUM(G130:L130)</f>
        <v>0</v>
      </c>
      <c r="G130" s="1699">
        <f>127.7*G105/1000*0.49</f>
        <v>0</v>
      </c>
      <c r="H130" s="1699">
        <f>0</f>
        <v>0</v>
      </c>
      <c r="I130" s="1699">
        <f>0</f>
        <v>0</v>
      </c>
      <c r="J130" s="1699">
        <f>0</f>
        <v>0</v>
      </c>
      <c r="K130" s="1699">
        <f>0</f>
        <v>0</v>
      </c>
      <c r="L130" s="1699">
        <f>0</f>
        <v>0</v>
      </c>
      <c r="M130" s="1561"/>
      <c r="N130" s="1561"/>
      <c r="O130" s="1561"/>
      <c r="P130" s="1561"/>
      <c r="Q130" s="1561"/>
      <c r="R130" s="1561"/>
    </row>
    <row r="131" spans="1:45" ht="18.75" customHeight="1">
      <c r="A131" s="1316"/>
      <c r="B131" s="2474" t="s">
        <v>1289</v>
      </c>
      <c r="C131" s="2474"/>
      <c r="D131" s="2474"/>
      <c r="E131" s="1408" t="s">
        <v>163</v>
      </c>
      <c r="F131" s="1551">
        <f>SUM(G131:L131)</f>
        <v>0</v>
      </c>
      <c r="G131" s="1699">
        <f>0</f>
        <v>0</v>
      </c>
      <c r="H131" s="1699">
        <f>0</f>
        <v>0</v>
      </c>
      <c r="I131" s="1699">
        <f>0</f>
        <v>0</v>
      </c>
      <c r="J131" s="1699">
        <f>0</f>
        <v>0</v>
      </c>
      <c r="K131" s="1699">
        <f>0</f>
        <v>0</v>
      </c>
      <c r="L131" s="1699">
        <f>0</f>
        <v>0</v>
      </c>
      <c r="M131" s="1561"/>
      <c r="N131" s="1561"/>
      <c r="O131" s="1561"/>
      <c r="P131" s="1561"/>
      <c r="Q131" s="1561"/>
      <c r="R131" s="1561"/>
    </row>
    <row r="132" spans="1:45" ht="18">
      <c r="A132" s="1316"/>
      <c r="B132" s="2474" t="s">
        <v>1299</v>
      </c>
      <c r="C132" s="2474"/>
      <c r="D132" s="2474"/>
      <c r="E132" s="1408" t="s">
        <v>163</v>
      </c>
      <c r="F132" s="1551">
        <f>SUM(G132:L132)</f>
        <v>0</v>
      </c>
      <c r="G132" s="1699">
        <f>0</f>
        <v>0</v>
      </c>
      <c r="N132" s="1561"/>
      <c r="O132" s="1561"/>
      <c r="P132" s="1561"/>
      <c r="Q132" s="1561"/>
      <c r="R132" s="1561"/>
    </row>
    <row r="133" spans="1:45" ht="18">
      <c r="A133" s="1316"/>
      <c r="B133" s="2474" t="s">
        <v>1301</v>
      </c>
      <c r="C133" s="2474"/>
      <c r="D133" s="2474"/>
      <c r="E133" s="1408" t="s">
        <v>163</v>
      </c>
      <c r="F133" s="1551">
        <f>SUM(G133:L133)</f>
        <v>0</v>
      </c>
      <c r="G133" s="1699">
        <f>0</f>
        <v>0</v>
      </c>
      <c r="N133" s="1561"/>
      <c r="O133" s="1561"/>
      <c r="P133" s="1561"/>
      <c r="Q133" s="1561"/>
      <c r="R133" s="1561"/>
    </row>
    <row r="134" spans="1:45" ht="18">
      <c r="A134" s="1316"/>
      <c r="B134" s="2474" t="s">
        <v>1268</v>
      </c>
      <c r="C134" s="2474"/>
      <c r="D134" s="2474"/>
      <c r="E134" s="1408" t="s">
        <v>30</v>
      </c>
      <c r="F134" s="1551" t="e">
        <f>(F130-F131)/F130*100</f>
        <v>#DIV/0!</v>
      </c>
      <c r="G134" s="1699" t="e">
        <f>(G130-G131)/G130*100</f>
        <v>#DIV/0!</v>
      </c>
      <c r="M134" s="1561"/>
      <c r="N134" s="1561"/>
      <c r="O134" s="1561"/>
      <c r="P134" s="1561"/>
      <c r="Q134" s="1561"/>
      <c r="R134" s="1561"/>
    </row>
    <row r="135" spans="1:45" ht="18">
      <c r="A135" s="1316"/>
      <c r="B135" s="2474" t="s">
        <v>1300</v>
      </c>
      <c r="C135" s="2474"/>
      <c r="D135" s="2474"/>
      <c r="E135" s="1408" t="s">
        <v>30</v>
      </c>
      <c r="F135" s="1551" t="e">
        <f>(F132-F133)/F134</f>
        <v>#DIV/0!</v>
      </c>
      <c r="G135" s="1699" t="e">
        <f>(G132-G133)/G132*100</f>
        <v>#DIV/0!</v>
      </c>
      <c r="H135" s="1317" t="e">
        <f t="shared" ref="H135:L135" si="2">(H130-H131)/H130*100</f>
        <v>#DIV/0!</v>
      </c>
      <c r="I135" s="1317" t="e">
        <f t="shared" si="2"/>
        <v>#DIV/0!</v>
      </c>
      <c r="J135" s="1317" t="e">
        <f t="shared" si="2"/>
        <v>#DIV/0!</v>
      </c>
      <c r="K135" s="1317" t="e">
        <f t="shared" si="2"/>
        <v>#DIV/0!</v>
      </c>
      <c r="L135" s="1317" t="e">
        <f t="shared" si="2"/>
        <v>#DIV/0!</v>
      </c>
      <c r="N135" s="1561"/>
      <c r="O135" s="1561"/>
      <c r="P135" s="1561"/>
      <c r="Q135" s="1561"/>
      <c r="R135" s="1561"/>
    </row>
    <row r="136" spans="1:45" ht="18.75" customHeight="1">
      <c r="A136" s="1316"/>
      <c r="B136" s="2629" t="s">
        <v>1274</v>
      </c>
      <c r="C136" s="2629"/>
      <c r="D136" s="2629"/>
      <c r="E136" s="2629"/>
      <c r="F136" s="1570" t="s">
        <v>40</v>
      </c>
      <c r="G136" s="1570" t="s">
        <v>40</v>
      </c>
      <c r="H136" s="1570" t="s">
        <v>998</v>
      </c>
      <c r="I136" s="1570" t="s">
        <v>998</v>
      </c>
      <c r="J136" s="1570" t="s">
        <v>998</v>
      </c>
      <c r="K136" s="1570" t="s">
        <v>998</v>
      </c>
      <c r="L136" s="1570" t="s">
        <v>998</v>
      </c>
      <c r="M136" s="1569" t="str">
        <f t="shared" ref="M136" si="3">IF(M100=bat_collectif,IF(OR(M135="C",M135="A",M135="B"),"Eligible","Le bâtiment doit être de classe inférieure ou égale à C pour être éligible au Fonds Chaleur"),IF(M100=bat_decret,IF(OR(M135="C",M135="A",M135="B"),"Eligible","Le bâtiment doit être de classe inférieure ou égale à C pour être éligible au Fonds Chaleur"),IF(M100=bat_non,IF(OR(M135="C",M135="A",M135="B",M135="D"),"Eligible","Le bâtiment doit être de classe inférieure ou égale à D pour être éligible au Fonds Chaleur"),"")))</f>
        <v/>
      </c>
      <c r="N136" s="1561"/>
      <c r="O136" s="1561"/>
      <c r="P136" s="1561"/>
      <c r="Q136" s="1561"/>
      <c r="R136" s="1561"/>
    </row>
    <row r="137" spans="1:45">
      <c r="A137" s="1316"/>
      <c r="B137" s="1376"/>
      <c r="C137" s="1376"/>
      <c r="D137" s="1376"/>
      <c r="E137" s="1308"/>
      <c r="F137" s="1308"/>
      <c r="G137" s="1308"/>
      <c r="H137" s="1308"/>
      <c r="I137" s="1308"/>
      <c r="J137" s="1308"/>
      <c r="K137" s="1308"/>
      <c r="L137" s="1308"/>
      <c r="M137" s="1308"/>
      <c r="N137" s="1308"/>
      <c r="O137" s="1308"/>
      <c r="P137" s="1308"/>
      <c r="Q137" s="1308"/>
      <c r="R137" s="1308"/>
    </row>
    <row r="138" spans="1:45">
      <c r="A138" s="1316"/>
      <c r="B138" s="1376"/>
      <c r="C138" s="1376"/>
      <c r="D138" s="1376"/>
      <c r="E138" s="1308"/>
      <c r="F138" s="1308"/>
      <c r="G138" s="1308"/>
      <c r="H138" s="1308"/>
      <c r="I138" s="1308"/>
      <c r="J138" s="1308"/>
      <c r="K138" s="1308"/>
      <c r="L138" s="1308"/>
      <c r="M138" s="1308"/>
      <c r="N138" s="1308"/>
      <c r="O138" s="1308"/>
      <c r="P138" s="1308"/>
      <c r="Q138" s="1308"/>
      <c r="R138" s="1308"/>
    </row>
    <row r="139" spans="1:45">
      <c r="A139" s="1384"/>
      <c r="B139" s="1384"/>
      <c r="C139" s="1384"/>
      <c r="D139" s="1384"/>
      <c r="E139" s="1384"/>
      <c r="F139" s="1384"/>
      <c r="G139" s="1384"/>
      <c r="H139" s="1384"/>
      <c r="I139" s="1384"/>
      <c r="J139" s="1384"/>
      <c r="K139" s="1384"/>
      <c r="L139" s="1384"/>
      <c r="M139" s="1385"/>
      <c r="N139" s="1308"/>
      <c r="O139" s="1308"/>
      <c r="P139" s="1308"/>
      <c r="Q139" s="1308"/>
      <c r="R139" s="1308"/>
    </row>
    <row r="140" spans="1:45" s="1308" customFormat="1">
      <c r="B140" s="1410"/>
      <c r="C140" s="1410"/>
      <c r="D140" s="1410"/>
      <c r="E140" s="1410"/>
      <c r="F140" s="1410"/>
      <c r="G140" s="1410"/>
      <c r="H140" s="1410"/>
      <c r="I140" s="1410"/>
      <c r="J140" s="1410"/>
      <c r="K140" s="1410"/>
      <c r="L140" s="1410"/>
      <c r="N140" s="1384"/>
      <c r="U140" s="1324"/>
      <c r="V140" s="1317"/>
      <c r="W140" s="1317"/>
      <c r="X140" s="1317"/>
      <c r="Y140" s="1317"/>
      <c r="Z140" s="1317"/>
      <c r="AA140" s="1317"/>
      <c r="AB140" s="1317"/>
      <c r="AC140" s="1317"/>
      <c r="AD140" s="1317"/>
      <c r="AE140" s="1317"/>
      <c r="AF140" s="1317"/>
      <c r="AG140" s="1317"/>
      <c r="AH140" s="1317"/>
      <c r="AI140" s="1317"/>
      <c r="AJ140" s="1317"/>
      <c r="AK140" s="1317"/>
      <c r="AL140" s="1317"/>
      <c r="AM140" s="1317"/>
      <c r="AN140" s="1317"/>
      <c r="AO140" s="1317"/>
      <c r="AP140" s="1317"/>
      <c r="AQ140" s="1317"/>
      <c r="AR140" s="1317"/>
      <c r="AS140" s="1317"/>
    </row>
    <row r="141" spans="1:45" s="1308" customFormat="1" ht="15" thickBot="1">
      <c r="B141" s="1410"/>
      <c r="C141" s="1410"/>
      <c r="D141" s="1410"/>
      <c r="E141" s="1410"/>
      <c r="F141" s="1410"/>
      <c r="G141" s="1410"/>
      <c r="H141" s="1410"/>
      <c r="I141" s="1410"/>
      <c r="J141" s="1410"/>
      <c r="K141" s="1410"/>
      <c r="L141" s="1410"/>
      <c r="U141" s="1324"/>
      <c r="V141" s="1317"/>
      <c r="W141" s="1317"/>
      <c r="X141" s="1317"/>
      <c r="Y141" s="1317"/>
      <c r="Z141" s="1317"/>
      <c r="AA141" s="1317"/>
      <c r="AB141" s="1317"/>
      <c r="AC141" s="1317"/>
      <c r="AD141" s="1317"/>
      <c r="AE141" s="1317"/>
      <c r="AF141" s="1317"/>
      <c r="AG141" s="1317"/>
      <c r="AH141" s="1317"/>
      <c r="AI141" s="1317"/>
      <c r="AJ141" s="1317"/>
      <c r="AK141" s="1317"/>
      <c r="AL141" s="1317"/>
      <c r="AM141" s="1317"/>
      <c r="AN141" s="1317"/>
      <c r="AO141" s="1317"/>
      <c r="AP141" s="1317"/>
      <c r="AQ141" s="1317"/>
      <c r="AR141" s="1317"/>
      <c r="AS141" s="1317"/>
    </row>
    <row r="142" spans="1:45" ht="18.600000000000001" thickBot="1">
      <c r="B142" s="2428" t="s">
        <v>894</v>
      </c>
      <c r="C142" s="2429"/>
      <c r="D142" s="2429"/>
      <c r="E142" s="2429"/>
      <c r="F142" s="2429"/>
      <c r="G142" s="2429"/>
      <c r="H142" s="2429"/>
      <c r="I142" s="2429"/>
      <c r="J142" s="2429"/>
      <c r="K142" s="1736"/>
      <c r="L142" s="1736" t="s">
        <v>1290</v>
      </c>
      <c r="M142" s="1737"/>
      <c r="N142" s="1411"/>
    </row>
    <row r="143" spans="1:45" ht="17.399999999999999">
      <c r="B143" s="1412"/>
      <c r="C143" s="1413"/>
      <c r="D143" s="1413"/>
      <c r="E143" s="1413"/>
      <c r="F143" s="1413"/>
      <c r="G143" s="1413" t="s">
        <v>442</v>
      </c>
      <c r="H143" s="1413" t="s">
        <v>434</v>
      </c>
      <c r="I143" s="1413" t="s">
        <v>475</v>
      </c>
      <c r="J143" s="1413" t="s">
        <v>1121</v>
      </c>
      <c r="K143" s="1727" t="s">
        <v>1011</v>
      </c>
      <c r="L143" s="1415"/>
      <c r="M143" s="1416"/>
    </row>
    <row r="144" spans="1:45" ht="15.75" customHeight="1" thickBot="1">
      <c r="B144" s="2424" t="s">
        <v>443</v>
      </c>
      <c r="C144" s="2425"/>
      <c r="D144" s="2425"/>
      <c r="E144" s="2425"/>
      <c r="F144" s="2425"/>
      <c r="G144" s="1418"/>
      <c r="H144" s="1418"/>
      <c r="I144" s="1418"/>
      <c r="J144" s="1418"/>
      <c r="K144" s="1415"/>
      <c r="L144" s="1415"/>
      <c r="M144" s="1416"/>
      <c r="T144" s="1409"/>
    </row>
    <row r="145" spans="2:20" ht="15" customHeight="1">
      <c r="B145" s="2408" t="s">
        <v>444</v>
      </c>
      <c r="C145" s="2409"/>
      <c r="D145" s="2409"/>
      <c r="E145" s="2409"/>
      <c r="F145" s="2409"/>
      <c r="G145" s="1685" t="s">
        <v>1002</v>
      </c>
      <c r="H145" s="1685" t="s">
        <v>1002</v>
      </c>
      <c r="I145" s="1421" t="s">
        <v>1273</v>
      </c>
      <c r="J145" s="1555"/>
      <c r="K145" s="1419"/>
      <c r="L145" s="1415"/>
      <c r="M145" s="1416"/>
      <c r="T145" s="1409"/>
    </row>
    <row r="146" spans="2:20" ht="15" customHeight="1">
      <c r="B146" s="2408" t="s">
        <v>1124</v>
      </c>
      <c r="C146" s="2409"/>
      <c r="D146" s="2409"/>
      <c r="E146" s="2409"/>
      <c r="F146" s="2409"/>
      <c r="G146" s="1555" t="s">
        <v>1011</v>
      </c>
      <c r="H146" s="1555"/>
      <c r="I146" s="1701" t="s">
        <v>40</v>
      </c>
      <c r="J146" s="1701" t="s">
        <v>41</v>
      </c>
      <c r="K146" s="1419"/>
      <c r="L146" s="1415"/>
      <c r="M146" s="1416"/>
    </row>
    <row r="147" spans="2:20" ht="18">
      <c r="B147" s="2408" t="s">
        <v>461</v>
      </c>
      <c r="C147" s="2409"/>
      <c r="D147" s="2409"/>
      <c r="E147" s="2409"/>
      <c r="F147" s="2409"/>
      <c r="G147" s="1420" t="s">
        <v>1011</v>
      </c>
      <c r="H147" s="1420">
        <v>0</v>
      </c>
      <c r="I147" s="1420" t="s">
        <v>1011</v>
      </c>
      <c r="J147" s="1420"/>
      <c r="K147" s="1414"/>
      <c r="L147" s="1415"/>
      <c r="M147" s="1416"/>
    </row>
    <row r="148" spans="2:20" ht="18">
      <c r="B148" s="2408" t="s">
        <v>1154</v>
      </c>
      <c r="C148" s="2409"/>
      <c r="D148" s="2409"/>
      <c r="E148" s="2409"/>
      <c r="F148" s="2409"/>
      <c r="G148" s="1421" t="s">
        <v>1011</v>
      </c>
      <c r="H148" s="1421" t="s">
        <v>1011</v>
      </c>
      <c r="I148" s="1686" t="s">
        <v>1011</v>
      </c>
      <c r="J148" s="1420"/>
      <c r="K148" s="1414"/>
      <c r="L148" s="1415"/>
      <c r="M148" s="1416"/>
    </row>
    <row r="149" spans="2:20" ht="18">
      <c r="B149" s="2408" t="s">
        <v>1295</v>
      </c>
      <c r="C149" s="2409"/>
      <c r="D149" s="2409"/>
      <c r="E149" s="2409"/>
      <c r="F149" s="2409"/>
      <c r="G149" s="1421" t="s">
        <v>1011</v>
      </c>
      <c r="H149" s="1421" t="s">
        <v>1011</v>
      </c>
      <c r="I149" s="1422" t="s">
        <v>1011</v>
      </c>
      <c r="J149" s="1422"/>
      <c r="K149" s="1738" t="s">
        <v>1291</v>
      </c>
      <c r="L149" s="1740">
        <f>54%*(47.5+273.15+2)/(47.5-6+2*2)</f>
        <v>3.8292527472527471</v>
      </c>
      <c r="M149" s="1738" t="s">
        <v>1292</v>
      </c>
    </row>
    <row r="150" spans="2:20" ht="15" customHeight="1">
      <c r="B150" s="2408" t="s">
        <v>452</v>
      </c>
      <c r="C150" s="2409"/>
      <c r="D150" s="2409"/>
      <c r="E150" s="2409"/>
      <c r="F150" s="2409"/>
      <c r="G150" s="1702" t="s">
        <v>1011</v>
      </c>
      <c r="H150" s="1703" t="s">
        <v>1011</v>
      </c>
      <c r="I150" s="1704" t="s">
        <v>1011</v>
      </c>
      <c r="J150" s="1704"/>
      <c r="K150" s="1414"/>
      <c r="L150" s="1415"/>
      <c r="M150" s="1416"/>
    </row>
    <row r="151" spans="2:20" ht="15" customHeight="1">
      <c r="B151" s="2408" t="s">
        <v>1296</v>
      </c>
      <c r="C151" s="2409"/>
      <c r="D151" s="2409"/>
      <c r="E151" s="2409"/>
      <c r="F151" s="2409"/>
      <c r="G151" s="1702" t="s">
        <v>1011</v>
      </c>
      <c r="H151" s="1703" t="s">
        <v>1011</v>
      </c>
      <c r="I151" s="1704" t="s">
        <v>1011</v>
      </c>
      <c r="J151" s="1704"/>
      <c r="K151" s="1414"/>
      <c r="L151" s="1423"/>
      <c r="M151" s="1424"/>
    </row>
    <row r="152" spans="2:20" ht="15" customHeight="1">
      <c r="B152" s="2408" t="s">
        <v>1297</v>
      </c>
      <c r="C152" s="2409"/>
      <c r="D152" s="2409"/>
      <c r="E152" s="2409"/>
      <c r="F152" s="2409"/>
      <c r="G152" s="1741"/>
      <c r="H152" s="1742"/>
      <c r="I152" s="1704"/>
      <c r="J152" s="1704"/>
      <c r="K152" s="1414"/>
      <c r="L152" s="1423"/>
      <c r="M152" s="1743"/>
    </row>
    <row r="153" spans="2:20" ht="15.75" customHeight="1">
      <c r="B153" s="2408" t="s">
        <v>1081</v>
      </c>
      <c r="C153" s="2409"/>
      <c r="D153" s="2409"/>
      <c r="E153" s="2409"/>
      <c r="F153" s="2409"/>
      <c r="G153" s="2617" t="e">
        <f>(G158+H158)/(G154+G155+H154+H155)</f>
        <v>#VALUE!</v>
      </c>
      <c r="H153" s="2618"/>
      <c r="I153" s="1555" t="e">
        <f>I158/(I154+I155)</f>
        <v>#VALUE!</v>
      </c>
      <c r="J153" s="1425">
        <v>18</v>
      </c>
      <c r="K153" s="1738" t="s">
        <v>1293</v>
      </c>
      <c r="L153" s="1739">
        <v>3.2</v>
      </c>
      <c r="M153" s="1738" t="s">
        <v>1294</v>
      </c>
    </row>
    <row r="154" spans="2:20" ht="15.75" customHeight="1">
      <c r="B154" s="2408" t="s">
        <v>1075</v>
      </c>
      <c r="C154" s="2409"/>
      <c r="D154" s="2409"/>
      <c r="E154" s="2409"/>
      <c r="F154" s="2616"/>
      <c r="G154" s="1555" t="str">
        <f>IFERROR(G158/G149,"")</f>
        <v/>
      </c>
      <c r="H154" s="1556" t="str">
        <f>IFERROR(F108/H149,"0")</f>
        <v>0</v>
      </c>
      <c r="I154" s="1557" t="str">
        <f>IFERROR(I158/I149,"")</f>
        <v/>
      </c>
      <c r="J154" s="1414"/>
      <c r="K154" s="1414"/>
      <c r="L154" s="1414"/>
      <c r="M154" s="1426"/>
    </row>
    <row r="155" spans="2:20" ht="15.75" customHeight="1">
      <c r="B155" s="2408" t="s">
        <v>1141</v>
      </c>
      <c r="C155" s="2409"/>
      <c r="D155" s="2409"/>
      <c r="E155" s="2409"/>
      <c r="F155" s="2616"/>
      <c r="G155" s="1555" t="e">
        <f>G154*0.1</f>
        <v>#VALUE!</v>
      </c>
      <c r="H155" s="1556">
        <f>H154*0.046</f>
        <v>0</v>
      </c>
      <c r="I155" s="1556" t="e">
        <f>I154*0.1</f>
        <v>#VALUE!</v>
      </c>
      <c r="J155" s="1559">
        <f>F113/J153</f>
        <v>0</v>
      </c>
      <c r="K155" s="1414" t="s">
        <v>1011</v>
      </c>
      <c r="L155" s="1414"/>
      <c r="M155" s="1426"/>
    </row>
    <row r="156" spans="2:20" ht="18">
      <c r="B156" s="2408" t="s">
        <v>1304</v>
      </c>
      <c r="C156" s="2409"/>
      <c r="D156" s="2409"/>
      <c r="E156" s="2409"/>
      <c r="F156" s="2409"/>
      <c r="G156" s="1558" t="e">
        <f>G158/G147*1000</f>
        <v>#VALUE!</v>
      </c>
      <c r="H156" s="1558" t="e">
        <f>H158/H147*1000</f>
        <v>#DIV/0!</v>
      </c>
      <c r="I156" s="1558" t="e">
        <f>I158/I147*1000</f>
        <v>#VALUE!</v>
      </c>
      <c r="J156" s="1421"/>
      <c r="K156" s="1738" t="s">
        <v>1082</v>
      </c>
      <c r="L156" s="1414"/>
      <c r="M156" s="1426"/>
      <c r="T156" s="1409"/>
    </row>
    <row r="157" spans="2:20" ht="15.75" customHeight="1">
      <c r="B157" s="2408" t="s">
        <v>456</v>
      </c>
      <c r="C157" s="2409"/>
      <c r="D157" s="2409"/>
      <c r="E157" s="2409"/>
      <c r="F157" s="2409"/>
      <c r="G157" s="1421" t="s">
        <v>1011</v>
      </c>
      <c r="H157" s="1421"/>
      <c r="I157" s="1420"/>
      <c r="J157" s="1420"/>
      <c r="K157" s="1414"/>
      <c r="L157" s="1415"/>
      <c r="M157" s="1427"/>
      <c r="T157" s="1409"/>
    </row>
    <row r="158" spans="2:20" ht="15.75" customHeight="1">
      <c r="B158" s="2408" t="s">
        <v>1108</v>
      </c>
      <c r="C158" s="2409"/>
      <c r="D158" s="2409"/>
      <c r="E158" s="2409"/>
      <c r="F158" s="2409"/>
      <c r="G158" s="1560">
        <f>F107</f>
        <v>0</v>
      </c>
      <c r="H158" s="1560">
        <f>F108</f>
        <v>0</v>
      </c>
      <c r="I158" s="1560">
        <f>F112</f>
        <v>0</v>
      </c>
      <c r="J158" s="1560">
        <f>F113</f>
        <v>0</v>
      </c>
      <c r="K158" s="1414"/>
      <c r="L158" s="1415"/>
      <c r="M158" s="1427"/>
    </row>
    <row r="159" spans="2:20" ht="15.75" customHeight="1">
      <c r="B159" s="2619" t="s">
        <v>1220</v>
      </c>
      <c r="C159" s="2620"/>
      <c r="D159" s="2620"/>
      <c r="E159" s="2620"/>
      <c r="F159" s="2620"/>
      <c r="G159" s="2621">
        <f>G158+H158</f>
        <v>0</v>
      </c>
      <c r="H159" s="2622"/>
      <c r="I159" s="1560">
        <f>I158</f>
        <v>0</v>
      </c>
      <c r="J159" s="1560"/>
      <c r="K159" s="1414"/>
      <c r="L159" s="1415"/>
      <c r="M159" s="1414"/>
    </row>
    <row r="160" spans="2:20" ht="18" thickBot="1">
      <c r="B160" s="2424" t="s">
        <v>460</v>
      </c>
      <c r="C160" s="2425"/>
      <c r="D160" s="2425"/>
      <c r="E160" s="2425"/>
      <c r="F160" s="2425"/>
      <c r="G160" s="1428"/>
      <c r="H160" s="1428"/>
      <c r="I160" s="1418"/>
      <c r="J160" s="1418"/>
      <c r="K160" s="1415"/>
      <c r="L160" s="1415"/>
      <c r="M160" s="1416"/>
    </row>
    <row r="161" spans="1:45" ht="18">
      <c r="B161" s="2408" t="s">
        <v>444</v>
      </c>
      <c r="C161" s="2409"/>
      <c r="D161" s="2409"/>
      <c r="E161" s="2409"/>
      <c r="F161" s="2409"/>
      <c r="G161" s="1428" t="s">
        <v>1282</v>
      </c>
      <c r="H161" s="1428"/>
      <c r="I161" s="1418"/>
      <c r="J161" s="1418"/>
      <c r="K161" s="1415"/>
      <c r="L161" s="1415"/>
      <c r="M161" s="1416"/>
    </row>
    <row r="162" spans="1:45" ht="18">
      <c r="B162" s="2408" t="s">
        <v>461</v>
      </c>
      <c r="C162" s="2409"/>
      <c r="D162" s="2409"/>
      <c r="E162" s="2409"/>
      <c r="F162" s="2409"/>
      <c r="G162" s="1428" t="s">
        <v>1011</v>
      </c>
      <c r="H162" s="1428"/>
      <c r="I162" s="1418" t="s">
        <v>1011</v>
      </c>
      <c r="J162" s="1418"/>
      <c r="K162" s="1415"/>
      <c r="L162" s="1415"/>
      <c r="M162" s="1416"/>
    </row>
    <row r="163" spans="1:45" ht="18">
      <c r="B163" s="2408" t="s">
        <v>462</v>
      </c>
      <c r="C163" s="2409"/>
      <c r="D163" s="2409"/>
      <c r="E163" s="2409"/>
      <c r="F163" s="2409"/>
      <c r="G163" s="1428" t="s">
        <v>1011</v>
      </c>
      <c r="H163" s="1428"/>
      <c r="I163" s="1418" t="s">
        <v>1011</v>
      </c>
      <c r="J163" s="1418"/>
      <c r="K163" s="1415"/>
      <c r="L163" s="1415"/>
      <c r="M163" s="1416"/>
    </row>
    <row r="164" spans="1:45" ht="18" customHeight="1">
      <c r="B164" s="1429"/>
      <c r="C164" s="1430"/>
      <c r="D164" s="1430"/>
      <c r="E164" s="1430"/>
      <c r="F164" s="1430" t="s">
        <v>1109</v>
      </c>
      <c r="G164" s="1428" t="s">
        <v>1011</v>
      </c>
      <c r="H164" s="1428"/>
      <c r="I164" s="1418" t="s">
        <v>1011</v>
      </c>
      <c r="J164" s="1418"/>
      <c r="K164" s="1415"/>
      <c r="L164" s="1415"/>
      <c r="M164" s="1416"/>
    </row>
    <row r="165" spans="1:45" ht="18.600000000000001" thickBot="1">
      <c r="B165" s="2611" t="s">
        <v>933</v>
      </c>
      <c r="C165" s="2612"/>
      <c r="D165" s="2612"/>
      <c r="E165" s="2612"/>
      <c r="F165" s="2612"/>
      <c r="G165" s="1428" t="s">
        <v>158</v>
      </c>
      <c r="H165" s="1428"/>
      <c r="I165" s="1428" t="s">
        <v>158</v>
      </c>
      <c r="J165" s="1428"/>
      <c r="K165" s="1431"/>
      <c r="L165" s="1431"/>
      <c r="M165" s="1432"/>
    </row>
    <row r="166" spans="1:45" s="1308" customFormat="1" ht="15" customHeight="1">
      <c r="A166" s="1433"/>
      <c r="B166" s="1433"/>
      <c r="C166" s="1433"/>
      <c r="D166" s="1433"/>
      <c r="E166" s="1434"/>
      <c r="F166" s="1411"/>
      <c r="G166" s="1384"/>
      <c r="H166" s="1384"/>
      <c r="I166" s="1384"/>
      <c r="J166" s="1384"/>
      <c r="K166" s="1384"/>
      <c r="L166" s="1384"/>
      <c r="M166" s="1384"/>
      <c r="N166" s="1316"/>
      <c r="O166" s="1316"/>
      <c r="P166" s="1316"/>
      <c r="Q166" s="1316"/>
      <c r="R166" s="1316"/>
      <c r="U166" s="1324"/>
      <c r="V166" s="1317"/>
      <c r="W166" s="1317"/>
      <c r="X166" s="1317"/>
      <c r="Y166" s="1317"/>
      <c r="Z166" s="1317"/>
      <c r="AA166" s="1317"/>
      <c r="AB166" s="1317"/>
      <c r="AC166" s="1317"/>
      <c r="AD166" s="1317"/>
      <c r="AE166" s="1317"/>
      <c r="AF166" s="1317"/>
      <c r="AG166" s="1317"/>
      <c r="AH166" s="1317"/>
      <c r="AI166" s="1317"/>
      <c r="AJ166" s="1317"/>
      <c r="AK166" s="1317"/>
      <c r="AL166" s="1317"/>
      <c r="AM166" s="1317"/>
      <c r="AN166" s="1317"/>
      <c r="AO166" s="1317"/>
      <c r="AP166" s="1317"/>
      <c r="AQ166" s="1317"/>
      <c r="AR166" s="1317"/>
      <c r="AS166" s="1317"/>
    </row>
    <row r="167" spans="1:45" s="1308" customFormat="1" ht="15" customHeight="1">
      <c r="A167" s="1433"/>
      <c r="B167" s="1433"/>
      <c r="C167" s="1433"/>
      <c r="D167" s="1433"/>
      <c r="E167" s="1434"/>
      <c r="F167" s="1411"/>
      <c r="G167" s="1384"/>
      <c r="H167" s="1384"/>
      <c r="I167" s="1384"/>
      <c r="J167" s="1384"/>
      <c r="K167" s="1384"/>
      <c r="L167" s="1384"/>
      <c r="M167" s="1384"/>
      <c r="N167" s="1316"/>
      <c r="O167" s="1316"/>
      <c r="P167" s="1316"/>
      <c r="Q167" s="1316"/>
      <c r="R167" s="1316"/>
      <c r="T167" s="1409"/>
      <c r="U167" s="1324"/>
      <c r="V167" s="1317"/>
      <c r="W167" s="1317"/>
      <c r="X167" s="1317"/>
      <c r="Y167" s="1317"/>
      <c r="Z167" s="1317"/>
      <c r="AA167" s="1317"/>
      <c r="AB167" s="1317"/>
      <c r="AC167" s="1317"/>
      <c r="AD167" s="1317"/>
      <c r="AE167" s="1317"/>
      <c r="AF167" s="1317"/>
      <c r="AG167" s="1317"/>
      <c r="AH167" s="1317"/>
      <c r="AI167" s="1317"/>
      <c r="AJ167" s="1317"/>
      <c r="AK167" s="1317"/>
      <c r="AL167" s="1317"/>
      <c r="AM167" s="1317"/>
      <c r="AN167" s="1317"/>
      <c r="AO167" s="1317"/>
      <c r="AP167" s="1317"/>
      <c r="AQ167" s="1317"/>
      <c r="AR167" s="1317"/>
      <c r="AS167" s="1317"/>
    </row>
    <row r="168" spans="1:45" s="1308" customFormat="1" ht="15" thickBot="1">
      <c r="A168" s="1433"/>
      <c r="B168" s="1433"/>
      <c r="C168" s="1433"/>
      <c r="D168" s="1433"/>
      <c r="E168" s="1434"/>
      <c r="F168" s="1411"/>
      <c r="G168" s="1384"/>
      <c r="H168" s="1384"/>
      <c r="I168" s="1384"/>
      <c r="J168" s="1384"/>
      <c r="K168" s="1384"/>
      <c r="L168" s="1384"/>
      <c r="M168" s="1384"/>
      <c r="N168" s="1316"/>
      <c r="O168" s="1316"/>
      <c r="P168" s="1316"/>
      <c r="Q168" s="1316"/>
      <c r="R168" s="1316"/>
      <c r="T168" s="1409"/>
      <c r="U168" s="1324"/>
      <c r="V168" s="1317"/>
      <c r="W168" s="1317"/>
      <c r="X168" s="1317"/>
      <c r="Y168" s="1317"/>
      <c r="Z168" s="1317"/>
      <c r="AA168" s="1317"/>
      <c r="AB168" s="1317"/>
      <c r="AC168" s="1317"/>
      <c r="AD168" s="1317"/>
      <c r="AE168" s="1317"/>
      <c r="AF168" s="1317"/>
      <c r="AG168" s="1317"/>
      <c r="AH168" s="1317"/>
      <c r="AI168" s="1317"/>
      <c r="AJ168" s="1317"/>
      <c r="AK168" s="1317"/>
      <c r="AL168" s="1317"/>
      <c r="AM168" s="1317"/>
      <c r="AN168" s="1317"/>
      <c r="AO168" s="1317"/>
      <c r="AP168" s="1317"/>
      <c r="AQ168" s="1317"/>
      <c r="AR168" s="1317"/>
      <c r="AS168" s="1317"/>
    </row>
    <row r="169" spans="1:45" ht="20.25" customHeight="1">
      <c r="B169" s="2441" t="s">
        <v>895</v>
      </c>
      <c r="C169" s="2442"/>
      <c r="D169" s="2442"/>
      <c r="E169" s="2442"/>
      <c r="F169" s="2442"/>
      <c r="G169" s="2442"/>
      <c r="H169" s="2442"/>
      <c r="I169" s="2442"/>
      <c r="J169" s="2442"/>
      <c r="K169" s="2442"/>
      <c r="L169" s="2442"/>
      <c r="M169" s="2613"/>
    </row>
    <row r="170" spans="1:45" ht="18" hidden="1">
      <c r="B170" s="2614" t="s">
        <v>466</v>
      </c>
      <c r="C170" s="2614"/>
      <c r="D170" s="2614"/>
      <c r="E170" s="2614"/>
      <c r="F170" s="2614"/>
      <c r="G170" s="2614"/>
      <c r="H170" s="2615" t="s">
        <v>467</v>
      </c>
      <c r="I170" s="2615"/>
      <c r="J170" s="2615"/>
      <c r="K170" s="2615" t="s">
        <v>468</v>
      </c>
      <c r="L170" s="2615"/>
      <c r="M170" s="2615"/>
    </row>
    <row r="171" spans="1:45" ht="18" hidden="1">
      <c r="A171" s="1435"/>
      <c r="B171" s="2433" t="s">
        <v>596</v>
      </c>
      <c r="C171" s="2433"/>
      <c r="D171" s="2433"/>
      <c r="E171" s="2433"/>
      <c r="F171" s="2433"/>
      <c r="G171" s="1436" t="str">
        <f>IF(ch_nappe=TRUE,"oui","non")</f>
        <v>non</v>
      </c>
      <c r="H171" s="2434" t="s">
        <v>442</v>
      </c>
      <c r="I171" s="2434"/>
      <c r="J171" s="1437" t="s">
        <v>41</v>
      </c>
      <c r="K171" s="2434" t="s">
        <v>470</v>
      </c>
      <c r="L171" s="2434"/>
      <c r="M171" s="1437" t="s">
        <v>41</v>
      </c>
    </row>
    <row r="172" spans="1:45" hidden="1">
      <c r="B172" s="2433" t="s">
        <v>978</v>
      </c>
      <c r="C172" s="2433"/>
      <c r="D172" s="2433"/>
      <c r="E172" s="2433"/>
      <c r="F172" s="2433"/>
      <c r="G172" s="1436" t="str">
        <f>IF(ch_sondes=TRUE,"oui","non")</f>
        <v>oui</v>
      </c>
      <c r="H172" s="2434" t="s">
        <v>472</v>
      </c>
      <c r="I172" s="2434"/>
      <c r="J172" s="1437" t="s">
        <v>41</v>
      </c>
      <c r="K172" s="2434" t="s">
        <v>473</v>
      </c>
      <c r="L172" s="2434"/>
      <c r="M172" s="1437" t="s">
        <v>41</v>
      </c>
    </row>
    <row r="173" spans="1:45" hidden="1">
      <c r="B173" s="2433" t="s">
        <v>477</v>
      </c>
      <c r="C173" s="2433"/>
      <c r="D173" s="2433"/>
      <c r="E173" s="2433"/>
      <c r="F173" s="2433"/>
      <c r="G173" s="1436" t="str">
        <f>IF(ch_eauxusees=TRUE,"oui","non")</f>
        <v>non</v>
      </c>
      <c r="H173" s="2434" t="s">
        <v>478</v>
      </c>
      <c r="I173" s="2434"/>
      <c r="J173" s="1437" t="s">
        <v>41</v>
      </c>
      <c r="K173" s="2488"/>
      <c r="L173" s="2488"/>
      <c r="M173" s="2488"/>
    </row>
    <row r="174" spans="1:45" ht="18">
      <c r="B174" s="2483" t="s">
        <v>596</v>
      </c>
      <c r="C174" s="2484"/>
      <c r="D174" s="2484"/>
      <c r="E174" s="2484"/>
      <c r="F174" s="2484"/>
      <c r="G174" s="2484"/>
      <c r="H174" s="2484"/>
      <c r="I174" s="2484"/>
      <c r="J174" s="2484"/>
      <c r="K174" s="2484"/>
      <c r="L174" s="2484"/>
      <c r="M174" s="2485"/>
      <c r="N174" s="1316" t="s">
        <v>1011</v>
      </c>
    </row>
    <row r="175" spans="1:45" ht="16.5" customHeight="1" thickBot="1">
      <c r="B175" s="2486" t="s">
        <v>480</v>
      </c>
      <c r="C175" s="2487"/>
      <c r="D175" s="2487"/>
      <c r="E175" s="2487"/>
      <c r="F175" s="2487"/>
      <c r="G175" s="1417"/>
      <c r="H175" s="1417"/>
      <c r="I175" s="1439"/>
      <c r="J175" s="1439"/>
      <c r="K175" s="1439"/>
      <c r="L175" s="1439"/>
      <c r="M175" s="1440"/>
      <c r="T175" s="1409"/>
    </row>
    <row r="176" spans="1:45" ht="15" customHeight="1">
      <c r="B176" s="2419" t="s">
        <v>481</v>
      </c>
      <c r="C176" s="2420"/>
      <c r="D176" s="2420"/>
      <c r="E176" s="2420"/>
      <c r="F176" s="2421"/>
      <c r="G176" s="1441"/>
      <c r="H176" s="1442">
        <v>1</v>
      </c>
      <c r="I176" s="1439"/>
      <c r="J176" s="1439"/>
      <c r="K176" s="1439"/>
      <c r="L176" s="1439"/>
      <c r="M176" s="1440"/>
      <c r="T176" s="1409"/>
    </row>
    <row r="177" spans="2:20" ht="21.75" customHeight="1">
      <c r="B177" s="2419" t="s">
        <v>482</v>
      </c>
      <c r="C177" s="2420"/>
      <c r="D177" s="2420"/>
      <c r="E177" s="2420"/>
      <c r="F177" s="2421"/>
      <c r="G177" s="1441"/>
      <c r="H177" s="1442">
        <v>0</v>
      </c>
      <c r="I177" s="1439"/>
      <c r="J177" s="1439"/>
      <c r="K177" s="1439"/>
      <c r="L177" s="1439"/>
      <c r="M177" s="1440"/>
      <c r="S177" s="1316"/>
    </row>
    <row r="178" spans="2:20" ht="15.75" customHeight="1">
      <c r="B178" s="2419" t="s">
        <v>483</v>
      </c>
      <c r="C178" s="2420"/>
      <c r="D178" s="2420"/>
      <c r="E178" s="2420"/>
      <c r="F178" s="2421"/>
      <c r="G178" s="1441" t="s">
        <v>190</v>
      </c>
      <c r="H178" s="1442">
        <v>15</v>
      </c>
      <c r="I178" s="1439"/>
      <c r="J178" s="1439"/>
      <c r="K178" s="1439"/>
      <c r="L178" s="1439"/>
      <c r="M178" s="1440"/>
      <c r="S178" s="1316"/>
    </row>
    <row r="179" spans="2:20" ht="15" customHeight="1">
      <c r="B179" s="2419" t="s">
        <v>890</v>
      </c>
      <c r="C179" s="2420"/>
      <c r="D179" s="2420"/>
      <c r="E179" s="2420"/>
      <c r="F179" s="2421"/>
      <c r="G179" s="1441"/>
      <c r="H179" s="1442" t="s">
        <v>1114</v>
      </c>
      <c r="I179" s="1439"/>
      <c r="J179" s="1439"/>
      <c r="K179" s="1439"/>
      <c r="L179" s="1439"/>
      <c r="M179" s="1440"/>
      <c r="S179" s="1316"/>
    </row>
    <row r="180" spans="2:20" ht="15" customHeight="1">
      <c r="B180" s="2419" t="s">
        <v>493</v>
      </c>
      <c r="C180" s="2420"/>
      <c r="D180" s="2420"/>
      <c r="E180" s="2420"/>
      <c r="F180" s="2421"/>
      <c r="G180" s="1441"/>
      <c r="H180" s="1443" t="s">
        <v>40</v>
      </c>
      <c r="I180" s="1439"/>
      <c r="J180" s="1439"/>
      <c r="K180" s="1439"/>
      <c r="L180" s="1439"/>
      <c r="M180" s="1440"/>
      <c r="S180" s="1316"/>
      <c r="T180" s="1409"/>
    </row>
    <row r="181" spans="2:20" ht="15" customHeight="1">
      <c r="B181" s="2419" t="s">
        <v>891</v>
      </c>
      <c r="C181" s="2420"/>
      <c r="D181" s="2420"/>
      <c r="E181" s="2420"/>
      <c r="F181" s="2421"/>
      <c r="G181" s="1441"/>
      <c r="H181" s="2430" t="s">
        <v>1115</v>
      </c>
      <c r="I181" s="2431"/>
      <c r="J181" s="2431"/>
      <c r="K181" s="2431"/>
      <c r="L181" s="2431"/>
      <c r="M181" s="2432"/>
      <c r="S181" s="1316"/>
    </row>
    <row r="182" spans="2:20" ht="16.5" customHeight="1" thickBot="1">
      <c r="B182" s="2486" t="s">
        <v>496</v>
      </c>
      <c r="C182" s="2487"/>
      <c r="D182" s="2487"/>
      <c r="E182" s="2487"/>
      <c r="F182" s="2487"/>
      <c r="G182" s="1438"/>
      <c r="H182" s="1438" t="s">
        <v>934</v>
      </c>
      <c r="I182" s="1438" t="s">
        <v>1215</v>
      </c>
      <c r="J182" s="1438" t="s">
        <v>1009</v>
      </c>
      <c r="K182" s="1439"/>
      <c r="L182" s="1439"/>
      <c r="M182" s="1440"/>
      <c r="S182" s="1316"/>
    </row>
    <row r="183" spans="2:20" ht="15" customHeight="1">
      <c r="B183" s="2419" t="s">
        <v>499</v>
      </c>
      <c r="C183" s="2420"/>
      <c r="D183" s="2420"/>
      <c r="E183" s="2420"/>
      <c r="F183" s="2421"/>
      <c r="G183" s="1441" t="s">
        <v>500</v>
      </c>
      <c r="H183" s="1445">
        <v>20</v>
      </c>
      <c r="I183" s="1445">
        <v>20</v>
      </c>
      <c r="J183" s="1439" t="s">
        <v>1118</v>
      </c>
      <c r="K183" s="1439"/>
      <c r="L183" s="1439"/>
      <c r="M183" s="1440"/>
      <c r="S183" s="1316"/>
    </row>
    <row r="184" spans="2:20" ht="15" customHeight="1">
      <c r="B184" s="2419" t="s">
        <v>502</v>
      </c>
      <c r="C184" s="2420"/>
      <c r="D184" s="2420"/>
      <c r="E184" s="2420"/>
      <c r="F184" s="2421"/>
      <c r="G184" s="1441" t="s">
        <v>500</v>
      </c>
      <c r="H184" s="1445"/>
      <c r="I184" s="1445"/>
      <c r="J184" s="1439"/>
      <c r="K184" s="1439"/>
      <c r="L184" s="1439"/>
      <c r="M184" s="1440"/>
      <c r="S184" s="1316"/>
    </row>
    <row r="185" spans="2:20" ht="15" customHeight="1">
      <c r="B185" s="2419" t="s">
        <v>1087</v>
      </c>
      <c r="C185" s="2420"/>
      <c r="D185" s="2420"/>
      <c r="E185" s="2420"/>
      <c r="F185" s="2421"/>
      <c r="G185" s="1441" t="s">
        <v>506</v>
      </c>
      <c r="H185" s="1446" t="s">
        <v>1116</v>
      </c>
      <c r="I185" s="1446" t="s">
        <v>1117</v>
      </c>
      <c r="J185" s="1439" t="s">
        <v>1118</v>
      </c>
      <c r="K185" s="1414"/>
      <c r="L185" s="1414"/>
      <c r="M185" s="1416"/>
      <c r="S185" s="1316"/>
    </row>
    <row r="186" spans="2:20" ht="15" customHeight="1">
      <c r="B186" s="2483" t="s">
        <v>1088</v>
      </c>
      <c r="C186" s="2484"/>
      <c r="D186" s="2484"/>
      <c r="E186" s="2484"/>
      <c r="F186" s="2484"/>
      <c r="G186" s="2484"/>
      <c r="H186" s="2484"/>
      <c r="I186" s="2484"/>
      <c r="J186" s="2484"/>
      <c r="K186" s="2484"/>
      <c r="L186" s="2484"/>
      <c r="M186" s="2485"/>
      <c r="S186" s="1316"/>
      <c r="T186" s="1409"/>
    </row>
    <row r="187" spans="2:20" ht="15" customHeight="1">
      <c r="B187" s="2419" t="s">
        <v>508</v>
      </c>
      <c r="C187" s="2420"/>
      <c r="D187" s="2420"/>
      <c r="E187" s="2420"/>
      <c r="F187" s="2421"/>
      <c r="G187" s="1441"/>
      <c r="H187" s="1442" t="s">
        <v>1011</v>
      </c>
      <c r="I187" s="1439"/>
      <c r="J187" s="1439"/>
      <c r="K187" s="1439"/>
      <c r="L187" s="1439"/>
      <c r="M187" s="1440"/>
      <c r="S187" s="1316"/>
      <c r="T187" s="1409"/>
    </row>
    <row r="188" spans="2:20" ht="15" customHeight="1">
      <c r="B188" s="2419" t="s">
        <v>483</v>
      </c>
      <c r="C188" s="2420"/>
      <c r="D188" s="2420"/>
      <c r="E188" s="2420"/>
      <c r="F188" s="2421"/>
      <c r="G188" s="1441" t="s">
        <v>190</v>
      </c>
      <c r="H188" s="1447" t="s">
        <v>1011</v>
      </c>
      <c r="I188" s="1439"/>
      <c r="J188" s="1439"/>
      <c r="K188" s="1439"/>
      <c r="L188" s="1439"/>
      <c r="M188" s="1440"/>
      <c r="S188" s="1316"/>
    </row>
    <row r="189" spans="2:20" ht="15" customHeight="1">
      <c r="B189" s="2419" t="s">
        <v>509</v>
      </c>
      <c r="C189" s="2420"/>
      <c r="D189" s="2420"/>
      <c r="E189" s="2420"/>
      <c r="F189" s="2421"/>
      <c r="G189" s="1441" t="s">
        <v>190</v>
      </c>
      <c r="H189" s="1447" t="e">
        <f>H188*H187</f>
        <v>#VALUE!</v>
      </c>
      <c r="I189" s="1448" t="e">
        <f>IF(ch_sondes,IF(H189&gt;1000,"TRT Obligatoire",""),"")</f>
        <v>#VALUE!</v>
      </c>
      <c r="J189" s="1439"/>
      <c r="K189" s="1439"/>
      <c r="L189" s="1439"/>
      <c r="M189" s="1440"/>
      <c r="S189" s="1316"/>
    </row>
    <row r="190" spans="2:20" ht="15" customHeight="1">
      <c r="B190" s="2419" t="s">
        <v>1091</v>
      </c>
      <c r="C190" s="2420"/>
      <c r="D190" s="2420"/>
      <c r="E190" s="2420"/>
      <c r="F190" s="2421"/>
      <c r="G190" s="1441" t="s">
        <v>190</v>
      </c>
      <c r="H190" s="1443"/>
      <c r="I190" s="1439"/>
      <c r="J190" s="1439"/>
      <c r="K190" s="1439"/>
      <c r="L190" s="1439"/>
      <c r="M190" s="1440"/>
      <c r="S190" s="1316"/>
    </row>
    <row r="191" spans="2:20" ht="15" customHeight="1">
      <c r="B191" s="2419" t="s">
        <v>510</v>
      </c>
      <c r="C191" s="2420"/>
      <c r="D191" s="2420"/>
      <c r="E191" s="2420"/>
      <c r="F191" s="2421"/>
      <c r="G191" s="1441"/>
      <c r="H191" s="1443" t="s">
        <v>1011</v>
      </c>
      <c r="I191" s="1449"/>
      <c r="J191" s="1449"/>
      <c r="K191" s="1414"/>
      <c r="L191" s="1414"/>
      <c r="M191" s="1416"/>
      <c r="S191" s="1316"/>
    </row>
    <row r="192" spans="2:20" ht="15" customHeight="1">
      <c r="B192" s="2419" t="s">
        <v>512</v>
      </c>
      <c r="C192" s="2420"/>
      <c r="D192" s="2420"/>
      <c r="E192" s="2420"/>
      <c r="F192" s="2421"/>
      <c r="G192" s="1441" t="s">
        <v>190</v>
      </c>
      <c r="H192" s="1443" t="s">
        <v>1011</v>
      </c>
      <c r="I192" s="1450"/>
      <c r="J192" s="1450"/>
      <c r="K192" s="1451"/>
      <c r="L192" s="1451"/>
      <c r="M192" s="1416"/>
      <c r="S192" s="1316"/>
    </row>
    <row r="193" spans="2:20" ht="15" customHeight="1">
      <c r="B193" s="2483" t="s">
        <v>1150</v>
      </c>
      <c r="C193" s="2484"/>
      <c r="D193" s="2484"/>
      <c r="E193" s="2484"/>
      <c r="F193" s="2484"/>
      <c r="G193" s="2484"/>
      <c r="H193" s="2484"/>
      <c r="I193" s="2484"/>
      <c r="J193" s="2484"/>
      <c r="K193" s="2484"/>
      <c r="L193" s="2484"/>
      <c r="M193" s="2485"/>
      <c r="S193" s="1316"/>
      <c r="T193" s="1409"/>
    </row>
    <row r="194" spans="2:20" ht="17.25" customHeight="1" thickBot="1">
      <c r="B194" s="2422" t="s">
        <v>520</v>
      </c>
      <c r="C194" s="2423"/>
      <c r="D194" s="2423"/>
      <c r="E194" s="2423"/>
      <c r="F194" s="2423"/>
      <c r="G194" s="2424"/>
      <c r="H194" s="2425"/>
      <c r="I194" s="1444" t="s">
        <v>40</v>
      </c>
      <c r="J194" s="1452" t="s">
        <v>906</v>
      </c>
      <c r="K194" s="1439"/>
      <c r="L194" s="1439"/>
      <c r="M194" s="1440"/>
    </row>
    <row r="195" spans="2:20" ht="15" customHeight="1">
      <c r="B195" s="2419" t="s">
        <v>521</v>
      </c>
      <c r="C195" s="2420"/>
      <c r="D195" s="2420"/>
      <c r="E195" s="2420"/>
      <c r="F195" s="2421"/>
      <c r="G195" s="1441" t="s">
        <v>485</v>
      </c>
      <c r="H195" s="1443"/>
      <c r="I195" s="1439"/>
      <c r="J195" s="1439"/>
      <c r="K195" s="1439"/>
      <c r="L195" s="1439"/>
      <c r="M195" s="1440"/>
    </row>
    <row r="196" spans="2:20" ht="15" customHeight="1">
      <c r="B196" s="2419" t="s">
        <v>522</v>
      </c>
      <c r="C196" s="2420"/>
      <c r="D196" s="2420"/>
      <c r="E196" s="2420"/>
      <c r="F196" s="2421"/>
      <c r="G196" s="1441"/>
      <c r="H196" s="1443"/>
      <c r="I196" s="1439"/>
      <c r="J196" s="1439"/>
      <c r="K196" s="1439"/>
      <c r="L196" s="1439"/>
      <c r="M196" s="1440"/>
    </row>
    <row r="197" spans="2:20" ht="15" customHeight="1">
      <c r="B197" s="2419" t="s">
        <v>524</v>
      </c>
      <c r="C197" s="2420"/>
      <c r="D197" s="2420"/>
      <c r="E197" s="2420"/>
      <c r="F197" s="2421"/>
      <c r="G197" s="1441" t="s">
        <v>525</v>
      </c>
      <c r="H197" s="1443"/>
      <c r="I197" s="1439"/>
      <c r="J197" s="1439"/>
      <c r="K197" s="1439"/>
      <c r="L197" s="1439"/>
      <c r="M197" s="1440"/>
    </row>
    <row r="198" spans="2:20" ht="15" customHeight="1">
      <c r="B198" s="2419" t="s">
        <v>527</v>
      </c>
      <c r="C198" s="2420"/>
      <c r="D198" s="2420"/>
      <c r="E198" s="2420"/>
      <c r="F198" s="2421"/>
      <c r="G198" s="1441"/>
      <c r="H198" s="1443"/>
      <c r="I198" s="1439"/>
      <c r="J198" s="1439"/>
      <c r="K198" s="1439"/>
      <c r="L198" s="1439"/>
      <c r="M198" s="1440"/>
    </row>
    <row r="199" spans="2:20" ht="15" customHeight="1">
      <c r="B199" s="2419" t="s">
        <v>528</v>
      </c>
      <c r="C199" s="2420"/>
      <c r="D199" s="2420"/>
      <c r="E199" s="2420"/>
      <c r="F199" s="2421"/>
      <c r="G199" s="1441"/>
      <c r="H199" s="1443"/>
      <c r="I199" s="1439"/>
      <c r="J199" s="1439"/>
      <c r="K199" s="1439"/>
      <c r="L199" s="1439"/>
      <c r="M199" s="1440"/>
    </row>
    <row r="200" spans="2:20" ht="15" customHeight="1">
      <c r="B200" s="2419" t="s">
        <v>530</v>
      </c>
      <c r="C200" s="2420"/>
      <c r="D200" s="2420"/>
      <c r="E200" s="2420"/>
      <c r="F200" s="2421"/>
      <c r="G200" s="1441" t="s">
        <v>108</v>
      </c>
      <c r="H200" s="1443"/>
      <c r="I200" s="1439"/>
      <c r="J200" s="1439"/>
      <c r="K200" s="1439"/>
      <c r="L200" s="1439"/>
      <c r="M200" s="1440"/>
    </row>
    <row r="201" spans="2:20" ht="24.75" customHeight="1">
      <c r="B201" s="2419" t="s">
        <v>531</v>
      </c>
      <c r="C201" s="2420"/>
      <c r="D201" s="2420"/>
      <c r="E201" s="2420"/>
      <c r="F201" s="2421"/>
      <c r="G201" s="1441" t="s">
        <v>53</v>
      </c>
      <c r="H201" s="1443"/>
      <c r="I201" s="1439"/>
      <c r="J201" s="1439"/>
      <c r="K201" s="1439"/>
      <c r="L201" s="1439"/>
      <c r="M201" s="1440"/>
      <c r="T201" s="1409"/>
    </row>
    <row r="202" spans="2:20" ht="15" customHeight="1" thickBot="1">
      <c r="B202" s="2422" t="s">
        <v>532</v>
      </c>
      <c r="C202" s="2423"/>
      <c r="D202" s="2423"/>
      <c r="E202" s="2423"/>
      <c r="F202" s="2423"/>
      <c r="G202" s="2424"/>
      <c r="H202" s="2425"/>
      <c r="I202" s="1444" t="s">
        <v>40</v>
      </c>
      <c r="J202" s="1452" t="s">
        <v>906</v>
      </c>
      <c r="K202" s="1439"/>
      <c r="L202" s="1439"/>
      <c r="M202" s="1440"/>
      <c r="T202" s="1409"/>
    </row>
    <row r="203" spans="2:20" ht="15" customHeight="1">
      <c r="B203" s="2419" t="s">
        <v>528</v>
      </c>
      <c r="C203" s="2420"/>
      <c r="D203" s="2420"/>
      <c r="E203" s="2420"/>
      <c r="F203" s="2421"/>
      <c r="G203" s="1441"/>
      <c r="H203" s="1443"/>
      <c r="I203" s="1439"/>
      <c r="J203" s="1439"/>
      <c r="K203" s="1439"/>
      <c r="L203" s="1439"/>
      <c r="M203" s="1440"/>
    </row>
    <row r="204" spans="2:20" ht="15" customHeight="1">
      <c r="B204" s="2419" t="s">
        <v>530</v>
      </c>
      <c r="C204" s="2420"/>
      <c r="D204" s="2420"/>
      <c r="E204" s="2420"/>
      <c r="F204" s="2421"/>
      <c r="G204" s="1441" t="s">
        <v>108</v>
      </c>
      <c r="H204" s="1443"/>
      <c r="I204" s="1439"/>
      <c r="J204" s="1439"/>
      <c r="K204" s="1439"/>
      <c r="L204" s="1439"/>
      <c r="M204" s="1440"/>
    </row>
    <row r="205" spans="2:20" ht="15" customHeight="1">
      <c r="B205" s="2419" t="s">
        <v>531</v>
      </c>
      <c r="C205" s="2420"/>
      <c r="D205" s="2420"/>
      <c r="E205" s="2420"/>
      <c r="F205" s="2421"/>
      <c r="G205" s="1441" t="s">
        <v>53</v>
      </c>
      <c r="H205" s="1443"/>
      <c r="I205" s="1439"/>
      <c r="J205" s="1439"/>
      <c r="K205" s="1439"/>
      <c r="L205" s="1439"/>
      <c r="M205" s="1440"/>
    </row>
    <row r="206" spans="2:20" ht="15" customHeight="1" thickBot="1">
      <c r="B206" s="2422" t="s">
        <v>533</v>
      </c>
      <c r="C206" s="2423"/>
      <c r="D206" s="2423"/>
      <c r="E206" s="2423"/>
      <c r="F206" s="2423"/>
      <c r="G206" s="1417"/>
      <c r="H206" s="1417" t="s">
        <v>934</v>
      </c>
      <c r="I206" s="1417" t="s">
        <v>935</v>
      </c>
      <c r="J206" s="1439"/>
      <c r="K206" s="1439"/>
      <c r="L206" s="1439"/>
      <c r="M206" s="1440"/>
    </row>
    <row r="207" spans="2:20" ht="15" customHeight="1" thickBot="1">
      <c r="B207" s="2475" t="s">
        <v>499</v>
      </c>
      <c r="C207" s="2476"/>
      <c r="D207" s="2476"/>
      <c r="E207" s="2476"/>
      <c r="F207" s="2477"/>
      <c r="G207" s="1441" t="s">
        <v>500</v>
      </c>
      <c r="H207" s="1417">
        <f>57.3/1000*60*60</f>
        <v>206.27999999999997</v>
      </c>
      <c r="I207" s="1417"/>
      <c r="J207" s="1439"/>
      <c r="K207" s="1439"/>
      <c r="L207" s="1439"/>
      <c r="M207" s="1440"/>
    </row>
    <row r="208" spans="2:20" ht="15" customHeight="1" thickBot="1">
      <c r="B208" s="2419" t="s">
        <v>1087</v>
      </c>
      <c r="C208" s="2420"/>
      <c r="D208" s="2420"/>
      <c r="E208" s="2420"/>
      <c r="F208" s="2462"/>
      <c r="G208" s="1441" t="s">
        <v>506</v>
      </c>
      <c r="H208" s="1417" t="s">
        <v>1106</v>
      </c>
      <c r="I208" s="1417"/>
      <c r="J208" s="1439"/>
      <c r="K208" s="1439"/>
      <c r="L208" s="1439"/>
      <c r="M208" s="1440"/>
    </row>
    <row r="209" spans="1:37" ht="15" customHeight="1" thickBot="1">
      <c r="B209" s="2419" t="s">
        <v>537</v>
      </c>
      <c r="C209" s="2420"/>
      <c r="D209" s="2420"/>
      <c r="E209" s="2420"/>
      <c r="F209" s="2462"/>
      <c r="G209" s="1441" t="s">
        <v>506</v>
      </c>
      <c r="H209" s="1417"/>
      <c r="I209" s="1417"/>
      <c r="J209" s="1439"/>
      <c r="K209" s="1439"/>
      <c r="L209" s="1439"/>
      <c r="M209" s="1440"/>
      <c r="AJ209" s="1316"/>
      <c r="AK209" s="1316"/>
    </row>
    <row r="210" spans="1:37" ht="15" customHeight="1" thickBot="1">
      <c r="B210" s="2419" t="s">
        <v>538</v>
      </c>
      <c r="C210" s="2420"/>
      <c r="D210" s="2420"/>
      <c r="E210" s="2420"/>
      <c r="F210" s="2421"/>
      <c r="G210" s="1441" t="s">
        <v>190</v>
      </c>
      <c r="H210" s="1417"/>
      <c r="I210" s="1417"/>
      <c r="J210" s="1450"/>
      <c r="K210" s="1451"/>
      <c r="L210" s="1451"/>
      <c r="M210" s="1416"/>
      <c r="T210" s="1409"/>
      <c r="AJ210" s="1316"/>
      <c r="AK210" s="1316"/>
    </row>
    <row r="211" spans="1:37" ht="15" customHeight="1" thickBot="1">
      <c r="B211" s="2419" t="s">
        <v>518</v>
      </c>
      <c r="C211" s="2420"/>
      <c r="D211" s="2420"/>
      <c r="E211" s="2420"/>
      <c r="F211" s="2462"/>
      <c r="G211" s="1453" t="s">
        <v>504</v>
      </c>
      <c r="H211" s="1564"/>
      <c r="I211" s="1564"/>
      <c r="J211" s="1450"/>
      <c r="K211" s="1451"/>
      <c r="L211" s="1451"/>
      <c r="M211" s="1416"/>
      <c r="T211" s="1409"/>
      <c r="AJ211" s="1316"/>
      <c r="AK211" s="1316"/>
    </row>
    <row r="212" spans="1:37" ht="15" customHeight="1" thickBot="1">
      <c r="B212" s="2463" t="s">
        <v>540</v>
      </c>
      <c r="C212" s="2464"/>
      <c r="D212" s="2464"/>
      <c r="E212" s="2464"/>
      <c r="F212" s="2465"/>
      <c r="G212" s="1454" t="s">
        <v>190</v>
      </c>
      <c r="H212" s="1562"/>
      <c r="I212" s="1566"/>
      <c r="J212" s="1455"/>
      <c r="K212" s="1456"/>
      <c r="L212" s="1456"/>
      <c r="M212" s="1432"/>
      <c r="AJ212" s="1316"/>
      <c r="AK212" s="1316"/>
    </row>
    <row r="213" spans="1:37" ht="15" customHeight="1">
      <c r="B213" s="1308"/>
      <c r="C213" s="1308"/>
      <c r="D213" s="1308"/>
      <c r="E213" s="1308"/>
      <c r="F213" s="1308"/>
      <c r="G213" s="1308"/>
      <c r="H213" s="1565"/>
      <c r="I213" s="1563"/>
      <c r="J213" s="1308"/>
      <c r="K213" s="1308"/>
      <c r="L213" s="1308"/>
      <c r="M213" s="1308"/>
      <c r="AJ213" s="1316"/>
      <c r="AK213" s="1316"/>
    </row>
    <row r="214" spans="1:37" ht="15" customHeight="1">
      <c r="B214" s="1308"/>
      <c r="C214" s="1308"/>
      <c r="D214" s="1308"/>
      <c r="E214" s="1308"/>
      <c r="F214" s="1308"/>
      <c r="G214" s="1308"/>
      <c r="H214" s="1308"/>
      <c r="I214" s="1308"/>
      <c r="J214" s="1308"/>
      <c r="K214" s="1308"/>
      <c r="L214" s="1308"/>
      <c r="M214" s="1308"/>
      <c r="AJ214" s="1316"/>
      <c r="AK214" s="1316"/>
    </row>
    <row r="215" spans="1:37" ht="15" customHeight="1">
      <c r="B215" s="1308"/>
      <c r="C215" s="1308"/>
      <c r="D215" s="1308"/>
      <c r="E215" s="1308"/>
      <c r="F215" s="1308"/>
      <c r="H215" s="1308"/>
      <c r="I215" s="1308"/>
      <c r="J215" s="1308"/>
      <c r="K215" s="1308"/>
      <c r="L215" s="1308"/>
      <c r="M215" s="1308"/>
      <c r="O215" s="1308"/>
      <c r="P215" s="1308"/>
      <c r="Q215" s="1308"/>
      <c r="R215" s="1308"/>
      <c r="AJ215" s="1316"/>
      <c r="AK215" s="1316"/>
    </row>
    <row r="216" spans="1:37" ht="15" customHeight="1" thickBot="1">
      <c r="B216" s="1308"/>
      <c r="C216" s="1308"/>
      <c r="D216" s="1308"/>
      <c r="E216" s="1308"/>
      <c r="F216" s="1308"/>
      <c r="G216" s="1308"/>
      <c r="H216" s="1308"/>
      <c r="I216" s="1308"/>
      <c r="J216" s="1308"/>
      <c r="K216" s="1308"/>
      <c r="L216" s="1308"/>
      <c r="M216" s="1308"/>
      <c r="O216" s="1308"/>
      <c r="P216" s="1308"/>
      <c r="Q216" s="1308"/>
      <c r="R216" s="1308"/>
      <c r="AJ216" s="1316"/>
      <c r="AK216" s="1316"/>
    </row>
    <row r="217" spans="1:37" ht="21" customHeight="1" thickBot="1">
      <c r="B217" s="2466" t="s">
        <v>896</v>
      </c>
      <c r="C217" s="2467"/>
      <c r="D217" s="2467"/>
      <c r="E217" s="2467"/>
      <c r="F217" s="2467"/>
      <c r="G217" s="2467"/>
      <c r="H217" s="2467"/>
      <c r="I217" s="2467"/>
      <c r="J217" s="2467"/>
      <c r="K217" s="2467"/>
      <c r="L217" s="2467"/>
      <c r="M217" s="2468"/>
      <c r="AJ217" s="1316"/>
      <c r="AK217" s="1316"/>
    </row>
    <row r="218" spans="1:37" ht="21" customHeight="1" thickBot="1">
      <c r="B218" s="2452" t="s">
        <v>1161</v>
      </c>
      <c r="C218" s="2453"/>
      <c r="D218" s="2453"/>
      <c r="E218" s="2453"/>
      <c r="F218" s="2453"/>
      <c r="G218" s="2453"/>
      <c r="H218" s="2453"/>
      <c r="I218" s="2453"/>
      <c r="J218" s="2453"/>
      <c r="K218" s="2453"/>
      <c r="L218" s="2453"/>
      <c r="M218" s="2454"/>
      <c r="AJ218" s="1316"/>
      <c r="AK218" s="1316"/>
    </row>
    <row r="219" spans="1:37" ht="32.25" customHeight="1" thickBot="1">
      <c r="B219" s="2455" t="s">
        <v>542</v>
      </c>
      <c r="C219" s="2456"/>
      <c r="D219" s="2457" t="s">
        <v>543</v>
      </c>
      <c r="E219" s="2458"/>
      <c r="F219" s="2459" t="s">
        <v>558</v>
      </c>
      <c r="G219" s="2460"/>
      <c r="H219" s="2461"/>
      <c r="I219" s="1316"/>
      <c r="J219" s="2441" t="s">
        <v>1278</v>
      </c>
      <c r="K219" s="2442"/>
      <c r="L219" s="2442"/>
      <c r="M219" s="1734"/>
      <c r="N219" s="1308"/>
      <c r="O219" s="1409"/>
      <c r="P219" s="1324"/>
      <c r="Q219" s="1317"/>
      <c r="R219" s="1317"/>
      <c r="AE219" s="1316"/>
      <c r="AF219" s="1316"/>
    </row>
    <row r="220" spans="1:37" ht="49.5" customHeight="1">
      <c r="A220" s="1458"/>
      <c r="B220" s="1462" t="s">
        <v>1125</v>
      </c>
      <c r="C220" s="1728" t="s">
        <v>40</v>
      </c>
      <c r="D220" s="1462" t="s">
        <v>1066</v>
      </c>
      <c r="E220" s="1574" t="s">
        <v>40</v>
      </c>
      <c r="F220" s="2448" t="s">
        <v>560</v>
      </c>
      <c r="G220" s="2449"/>
      <c r="H220" s="1459" t="s">
        <v>41</v>
      </c>
      <c r="I220" s="1316"/>
      <c r="J220" s="2443" t="s">
        <v>1285</v>
      </c>
      <c r="K220" s="2444"/>
      <c r="L220" s="2445"/>
      <c r="M220" s="1457"/>
      <c r="N220" s="1308"/>
      <c r="O220" s="1409"/>
      <c r="P220" s="1324"/>
      <c r="Q220" s="1317"/>
      <c r="R220" s="1317"/>
      <c r="T220" s="1409"/>
      <c r="AE220" s="1316"/>
      <c r="AF220" s="1316"/>
    </row>
    <row r="221" spans="1:37" ht="51" customHeight="1" thickBot="1">
      <c r="A221" s="1458"/>
      <c r="B221" s="1462" t="s">
        <v>939</v>
      </c>
      <c r="C221" s="1728" t="s">
        <v>40</v>
      </c>
      <c r="D221" s="1462" t="s">
        <v>1092</v>
      </c>
      <c r="E221" s="1574" t="s">
        <v>40</v>
      </c>
      <c r="F221" s="2450" t="s">
        <v>561</v>
      </c>
      <c r="G221" s="2451"/>
      <c r="H221" s="1461" t="s">
        <v>41</v>
      </c>
      <c r="I221" s="1316"/>
      <c r="J221" s="1316"/>
      <c r="K221" s="1316"/>
      <c r="L221" s="1316"/>
      <c r="M221" s="1457"/>
      <c r="N221" s="1308"/>
      <c r="O221" s="1308"/>
      <c r="P221" s="1324"/>
      <c r="Q221" s="1317"/>
      <c r="R221" s="1317"/>
      <c r="T221" s="1409"/>
    </row>
    <row r="222" spans="1:37" ht="47.25" hidden="1" customHeight="1">
      <c r="A222" s="1458"/>
      <c r="B222" s="1460" t="s">
        <v>937</v>
      </c>
      <c r="C222" s="1573" t="s">
        <v>41</v>
      </c>
      <c r="D222" s="1460" t="s">
        <v>1067</v>
      </c>
      <c r="E222" s="1574" t="s">
        <v>41</v>
      </c>
      <c r="F222" s="1308"/>
      <c r="G222" s="1316"/>
      <c r="H222" s="1316"/>
      <c r="I222" s="1316"/>
      <c r="J222" s="1316"/>
      <c r="K222" s="1316"/>
      <c r="L222" s="1316"/>
      <c r="M222" s="1457"/>
      <c r="N222" s="1308"/>
      <c r="O222" s="1308"/>
      <c r="P222" s="1324"/>
      <c r="Q222" s="1317"/>
      <c r="R222" s="1317"/>
      <c r="AE222" s="1316"/>
      <c r="AF222" s="1316"/>
    </row>
    <row r="223" spans="1:37" ht="56.25" customHeight="1">
      <c r="A223" s="1458"/>
      <c r="B223" s="1460" t="s">
        <v>1095</v>
      </c>
      <c r="C223" s="1573" t="s">
        <v>41</v>
      </c>
      <c r="D223" s="1462" t="s">
        <v>1093</v>
      </c>
      <c r="E223" s="1574" t="s">
        <v>41</v>
      </c>
      <c r="F223" s="1316"/>
      <c r="G223" s="1316"/>
      <c r="H223" s="1316"/>
      <c r="I223" s="1316"/>
      <c r="J223" s="1316"/>
      <c r="K223" s="1316"/>
      <c r="L223" s="1316"/>
      <c r="M223" s="1457"/>
      <c r="N223" s="1308"/>
      <c r="O223" s="1308"/>
      <c r="P223" s="1324"/>
      <c r="Q223" s="1317"/>
      <c r="R223" s="1317"/>
      <c r="AE223" s="1316"/>
      <c r="AF223" s="1316"/>
    </row>
    <row r="224" spans="1:37" ht="42.75" hidden="1" customHeight="1">
      <c r="B224" s="1463"/>
      <c r="C224" s="1573" t="s">
        <v>41</v>
      </c>
      <c r="D224" s="1460" t="s">
        <v>1068</v>
      </c>
      <c r="E224" s="1574" t="s">
        <v>41</v>
      </c>
      <c r="F224" s="1379"/>
      <c r="G224" s="1308"/>
      <c r="H224" s="1316"/>
      <c r="I224" s="1316"/>
      <c r="J224" s="1316"/>
      <c r="K224" s="1316"/>
      <c r="L224" s="1316"/>
      <c r="M224" s="1457"/>
      <c r="N224" s="1308"/>
      <c r="O224" s="1308"/>
      <c r="P224" s="1324"/>
      <c r="Q224" s="1317"/>
      <c r="R224" s="1317"/>
      <c r="AE224" s="1316"/>
      <c r="AF224" s="1316"/>
    </row>
    <row r="225" spans="1:37" ht="55.5" customHeight="1" thickBot="1">
      <c r="B225" s="1460" t="s">
        <v>1097</v>
      </c>
      <c r="C225" s="1573" t="s">
        <v>40</v>
      </c>
      <c r="D225" s="1464" t="s">
        <v>1094</v>
      </c>
      <c r="E225" s="1574" t="s">
        <v>41</v>
      </c>
      <c r="F225" s="1465"/>
      <c r="G225" s="1466"/>
      <c r="H225" s="1467"/>
      <c r="I225" s="1467"/>
      <c r="J225" s="1467"/>
      <c r="K225" s="1467"/>
      <c r="L225" s="1467"/>
      <c r="M225" s="1468"/>
      <c r="N225" s="1308"/>
      <c r="O225" s="1308"/>
      <c r="P225" s="1324"/>
      <c r="Q225" s="1317"/>
      <c r="R225" s="1317"/>
      <c r="AE225" s="1316"/>
      <c r="AF225" s="1316"/>
    </row>
    <row r="226" spans="1:37" ht="15" customHeight="1">
      <c r="A226" s="1469"/>
      <c r="B226" s="1308"/>
      <c r="C226" s="1308"/>
      <c r="D226" s="1308"/>
      <c r="E226" s="1308"/>
      <c r="F226" s="1308"/>
      <c r="G226" s="1308"/>
      <c r="H226" s="1308"/>
      <c r="I226" s="1308"/>
      <c r="J226" s="1308"/>
      <c r="K226" s="1308"/>
      <c r="L226" s="1308"/>
      <c r="M226" s="1308"/>
      <c r="AJ226" s="1316"/>
      <c r="AK226" s="1316"/>
    </row>
    <row r="227" spans="1:37" ht="15" customHeight="1">
      <c r="B227" s="1308"/>
      <c r="C227" s="1308"/>
      <c r="D227" s="1308"/>
      <c r="E227" s="1308"/>
      <c r="F227" s="1308"/>
      <c r="G227" s="1308"/>
      <c r="H227" s="1308"/>
      <c r="I227" s="1308"/>
      <c r="J227" s="1308"/>
      <c r="K227" s="1308"/>
      <c r="L227" s="1308"/>
      <c r="M227" s="1308"/>
      <c r="AJ227" s="1316"/>
      <c r="AK227" s="1316"/>
    </row>
    <row r="228" spans="1:37" ht="15" customHeight="1">
      <c r="B228" s="1308"/>
      <c r="C228" s="1308"/>
      <c r="D228" s="1308"/>
      <c r="E228" s="1308"/>
      <c r="F228" s="1308"/>
      <c r="G228" s="1308"/>
      <c r="H228" s="1308"/>
      <c r="I228" s="1308"/>
      <c r="J228" s="1308"/>
      <c r="K228" s="1308"/>
      <c r="L228" s="1308"/>
      <c r="M228" s="1308"/>
      <c r="AJ228" s="1316"/>
      <c r="AK228" s="1316"/>
    </row>
    <row r="229" spans="1:37" s="1308" customFormat="1">
      <c r="N229" s="1316"/>
      <c r="O229" s="1316"/>
      <c r="P229" s="1316"/>
      <c r="U229" s="1324"/>
      <c r="V229" s="1317"/>
      <c r="W229" s="1317"/>
      <c r="X229" s="1317"/>
      <c r="Y229" s="1470"/>
      <c r="Z229" s="1470"/>
      <c r="AA229" s="1470"/>
      <c r="AB229" s="1470"/>
      <c r="AC229" s="1470"/>
      <c r="AD229" s="1470"/>
      <c r="AE229" s="1470"/>
      <c r="AF229" s="1470"/>
      <c r="AG229" s="1470"/>
      <c r="AH229" s="1470"/>
      <c r="AI229" s="1470"/>
      <c r="AJ229" s="1470"/>
      <c r="AK229" s="1470"/>
    </row>
    <row r="230" spans="1:37" s="1308" customFormat="1">
      <c r="B230" s="1471"/>
      <c r="C230" s="1471"/>
      <c r="D230" s="1471"/>
      <c r="E230" s="1471"/>
      <c r="N230" s="1316"/>
      <c r="O230" s="1316"/>
      <c r="P230" s="1316"/>
      <c r="Q230" s="1316"/>
      <c r="R230" s="1316"/>
      <c r="T230" s="1409"/>
      <c r="U230" s="1324"/>
      <c r="V230" s="1317"/>
      <c r="W230" s="1317"/>
      <c r="X230" s="1317"/>
      <c r="Y230" s="1317"/>
      <c r="Z230" s="1317"/>
      <c r="AA230" s="1317"/>
      <c r="AB230" s="1317"/>
      <c r="AC230" s="1317"/>
      <c r="AD230" s="1317"/>
      <c r="AE230" s="1317"/>
      <c r="AF230" s="1317"/>
      <c r="AG230" s="1317"/>
      <c r="AH230" s="1317"/>
      <c r="AI230" s="1317"/>
      <c r="AJ230" s="1317"/>
      <c r="AK230" s="1317"/>
    </row>
    <row r="231" spans="1:37">
      <c r="A231" s="1316"/>
      <c r="B231" s="1316"/>
      <c r="C231" s="1316"/>
      <c r="D231" s="1316"/>
      <c r="E231" s="1316"/>
      <c r="F231" s="1316"/>
      <c r="G231" s="1316"/>
      <c r="H231" s="1316"/>
      <c r="I231" s="1316"/>
      <c r="J231" s="1316"/>
      <c r="K231" s="1316"/>
      <c r="L231" s="1316"/>
      <c r="M231" s="1316"/>
      <c r="T231" s="1409"/>
    </row>
    <row r="232" spans="1:37" ht="15" thickBot="1">
      <c r="A232" s="1316"/>
      <c r="B232" s="1316"/>
      <c r="C232" s="1316"/>
      <c r="D232" s="1316"/>
      <c r="E232" s="1316"/>
      <c r="F232" s="1316"/>
      <c r="G232" s="1316"/>
      <c r="H232" s="1316"/>
      <c r="I232" s="1316"/>
      <c r="J232" s="1316"/>
      <c r="K232" s="1316"/>
      <c r="L232" s="1316"/>
      <c r="M232" s="1316"/>
    </row>
    <row r="233" spans="1:37" ht="17.25" customHeight="1" thickBot="1">
      <c r="A233" s="1316"/>
      <c r="B233" s="2470" t="s">
        <v>954</v>
      </c>
      <c r="C233" s="2471"/>
      <c r="D233" s="2471"/>
      <c r="E233" s="2471"/>
      <c r="F233" s="2471"/>
      <c r="G233" s="2471"/>
      <c r="H233" s="2471"/>
      <c r="I233" s="2471"/>
      <c r="J233" s="2471"/>
      <c r="K233" s="2471"/>
      <c r="L233" s="2471"/>
      <c r="M233" s="2472"/>
    </row>
    <row r="234" spans="1:37" ht="17.25" customHeight="1">
      <c r="A234" s="1316"/>
      <c r="B234" s="2473" t="s">
        <v>898</v>
      </c>
      <c r="C234" s="2446"/>
      <c r="D234" s="2446"/>
      <c r="E234" s="2446"/>
      <c r="F234" s="2446"/>
      <c r="G234" s="2446" t="s">
        <v>342</v>
      </c>
      <c r="H234" s="2446"/>
      <c r="I234" s="2446" t="s">
        <v>43</v>
      </c>
      <c r="J234" s="2446"/>
      <c r="K234" s="2446"/>
      <c r="L234" s="2446"/>
      <c r="M234" s="2447"/>
    </row>
    <row r="235" spans="1:37" s="1470" customFormat="1" ht="15.9" customHeight="1">
      <c r="A235" s="1472"/>
      <c r="B235" s="2408" t="s">
        <v>1162</v>
      </c>
      <c r="C235" s="2409"/>
      <c r="D235" s="2409"/>
      <c r="E235" s="2409"/>
      <c r="F235" s="1733">
        <f>0</f>
        <v>0</v>
      </c>
      <c r="G235" s="2418"/>
      <c r="H235" s="2418"/>
      <c r="I235" s="1474"/>
      <c r="J235" s="1474"/>
      <c r="K235" s="1474"/>
      <c r="L235" s="1474"/>
      <c r="M235" s="1475"/>
      <c r="N235" s="1316"/>
      <c r="O235" s="1472"/>
      <c r="P235" s="1472"/>
      <c r="Q235" s="1472"/>
      <c r="R235" s="1472"/>
      <c r="S235" s="1308"/>
      <c r="T235" s="1308"/>
      <c r="U235" s="1324"/>
      <c r="V235" s="1317"/>
      <c r="W235" s="1317"/>
      <c r="X235" s="1317"/>
      <c r="Y235" s="1317"/>
      <c r="Z235" s="1317"/>
      <c r="AA235" s="1317"/>
      <c r="AB235" s="1317"/>
      <c r="AC235" s="1317"/>
      <c r="AD235" s="1317"/>
      <c r="AE235" s="1317"/>
      <c r="AF235" s="1317"/>
      <c r="AG235" s="1317"/>
      <c r="AH235" s="1317"/>
      <c r="AI235" s="1317"/>
      <c r="AJ235" s="1317"/>
      <c r="AK235" s="1317"/>
    </row>
    <row r="236" spans="1:37" s="1470" customFormat="1" ht="15.9" customHeight="1">
      <c r="A236" s="1472"/>
      <c r="B236" s="2408" t="s">
        <v>1163</v>
      </c>
      <c r="C236" s="2409"/>
      <c r="D236" s="2409"/>
      <c r="E236" s="2409"/>
      <c r="F236" s="1473" t="s">
        <v>1011</v>
      </c>
      <c r="G236" s="2418"/>
      <c r="H236" s="2418"/>
      <c r="I236" s="1474"/>
      <c r="J236" s="1474"/>
      <c r="K236" s="1474"/>
      <c r="L236" s="1474"/>
      <c r="M236" s="1475"/>
      <c r="N236" s="1316"/>
      <c r="O236" s="1472"/>
      <c r="P236" s="1472"/>
      <c r="Q236" s="1472"/>
      <c r="R236" s="1472"/>
      <c r="S236" s="1308"/>
      <c r="T236" s="1308"/>
      <c r="U236" s="1324"/>
      <c r="V236" s="1317"/>
      <c r="W236" s="1317"/>
      <c r="X236" s="1317"/>
      <c r="Y236" s="1317"/>
      <c r="Z236" s="1317"/>
      <c r="AA236" s="1317"/>
      <c r="AB236" s="1317"/>
      <c r="AC236" s="1317"/>
      <c r="AD236" s="1317"/>
      <c r="AE236" s="1317"/>
      <c r="AF236" s="1317"/>
      <c r="AG236" s="1317"/>
      <c r="AH236" s="1317"/>
      <c r="AI236" s="1317"/>
      <c r="AJ236" s="1317"/>
      <c r="AK236" s="1317"/>
    </row>
    <row r="237" spans="1:37" s="1470" customFormat="1" ht="15.9" customHeight="1">
      <c r="A237" s="1472"/>
      <c r="B237" s="2408" t="s">
        <v>1107</v>
      </c>
      <c r="C237" s="2409"/>
      <c r="D237" s="2409"/>
      <c r="E237" s="2409"/>
      <c r="F237" s="1473">
        <f>0</f>
        <v>0</v>
      </c>
      <c r="G237" s="2418"/>
      <c r="H237" s="2418"/>
      <c r="I237" s="1474"/>
      <c r="J237" s="1474"/>
      <c r="K237" s="1474"/>
      <c r="L237" s="1474"/>
      <c r="M237" s="1475"/>
      <c r="N237" s="1316"/>
      <c r="O237" s="1472"/>
      <c r="P237" s="1472"/>
      <c r="Q237" s="1472"/>
      <c r="R237" s="1472"/>
      <c r="S237" s="1308"/>
      <c r="T237" s="1308"/>
      <c r="U237" s="1324"/>
      <c r="V237" s="1317"/>
      <c r="W237" s="1317"/>
      <c r="X237" s="1317"/>
      <c r="Y237" s="1317"/>
      <c r="Z237" s="1317"/>
      <c r="AA237" s="1317"/>
      <c r="AB237" s="1317"/>
      <c r="AC237" s="1317"/>
      <c r="AD237" s="1317"/>
      <c r="AE237" s="1317"/>
      <c r="AF237" s="1317"/>
      <c r="AG237" s="1317"/>
      <c r="AH237" s="1317"/>
      <c r="AI237" s="1317"/>
      <c r="AJ237" s="1317"/>
      <c r="AK237" s="1317"/>
    </row>
    <row r="238" spans="1:37" s="1470" customFormat="1" ht="18">
      <c r="A238" s="1472"/>
      <c r="B238" s="2408" t="s">
        <v>1164</v>
      </c>
      <c r="C238" s="2409"/>
      <c r="D238" s="2409"/>
      <c r="E238" s="2409"/>
      <c r="F238" s="1473" t="s">
        <v>1011</v>
      </c>
      <c r="G238" s="2418"/>
      <c r="H238" s="2418"/>
      <c r="I238" s="1474"/>
      <c r="J238" s="1474"/>
      <c r="K238" s="1474"/>
      <c r="L238" s="1474"/>
      <c r="M238" s="1475"/>
      <c r="N238" s="1316"/>
      <c r="O238" s="1472"/>
      <c r="P238" s="1472"/>
      <c r="Q238" s="1472"/>
      <c r="R238" s="1472"/>
      <c r="S238" s="1308"/>
      <c r="T238" s="1308"/>
      <c r="U238" s="1324"/>
      <c r="V238" s="1317"/>
      <c r="W238" s="1317"/>
      <c r="X238" s="1317"/>
      <c r="Y238" s="1317"/>
      <c r="Z238" s="1317"/>
      <c r="AA238" s="1317"/>
      <c r="AB238" s="1317"/>
      <c r="AC238" s="1317"/>
      <c r="AD238" s="1317"/>
      <c r="AE238" s="1317"/>
      <c r="AF238" s="1317"/>
      <c r="AG238" s="1317"/>
      <c r="AH238" s="1317"/>
      <c r="AI238" s="1317"/>
      <c r="AJ238" s="1317"/>
      <c r="AK238" s="1317"/>
    </row>
    <row r="239" spans="1:37" s="1470" customFormat="1" ht="15.9" customHeight="1">
      <c r="A239" s="1472"/>
      <c r="B239" s="2408" t="s">
        <v>1283</v>
      </c>
      <c r="C239" s="2409"/>
      <c r="D239" s="2409"/>
      <c r="E239" s="2409"/>
      <c r="F239" s="1473" t="s">
        <v>1011</v>
      </c>
      <c r="G239" s="2418"/>
      <c r="H239" s="2418"/>
      <c r="I239" s="1474"/>
      <c r="J239" s="1474"/>
      <c r="K239" s="1474"/>
      <c r="L239" s="1474"/>
      <c r="M239" s="1475"/>
      <c r="N239" s="1316"/>
      <c r="O239" s="1472"/>
      <c r="P239" s="1472"/>
      <c r="Q239" s="1472"/>
      <c r="R239" s="1472"/>
      <c r="S239" s="1308"/>
      <c r="T239" s="1409"/>
      <c r="U239" s="1324"/>
      <c r="V239" s="1317"/>
      <c r="W239" s="1317"/>
      <c r="X239" s="1317"/>
      <c r="Y239" s="1317"/>
      <c r="Z239" s="1317"/>
      <c r="AA239" s="1317"/>
      <c r="AB239" s="1317"/>
      <c r="AC239" s="1317"/>
      <c r="AD239" s="1317"/>
      <c r="AE239" s="1317"/>
      <c r="AF239" s="1317"/>
      <c r="AG239" s="1317"/>
      <c r="AH239" s="1317"/>
      <c r="AI239" s="1317"/>
      <c r="AJ239" s="1317"/>
      <c r="AK239" s="1317"/>
    </row>
    <row r="240" spans="1:37" s="1470" customFormat="1" ht="15.9" customHeight="1">
      <c r="A240" s="1472"/>
      <c r="B240" s="2408" t="s">
        <v>1165</v>
      </c>
      <c r="C240" s="2409"/>
      <c r="D240" s="2409"/>
      <c r="E240" s="2409"/>
      <c r="F240" s="1473" t="s">
        <v>1011</v>
      </c>
      <c r="G240" s="2418"/>
      <c r="H240" s="2418"/>
      <c r="I240" s="1474"/>
      <c r="J240" s="1474"/>
      <c r="K240" s="1474"/>
      <c r="L240" s="1474"/>
      <c r="M240" s="1475"/>
      <c r="N240" s="1316"/>
      <c r="O240" s="1472"/>
      <c r="P240" s="1472"/>
      <c r="Q240" s="1472"/>
      <c r="R240" s="1472"/>
      <c r="S240" s="1308"/>
      <c r="T240" s="1409"/>
      <c r="U240" s="1324"/>
      <c r="V240" s="1317"/>
      <c r="W240" s="1317"/>
      <c r="X240" s="1317"/>
      <c r="Y240" s="1317"/>
      <c r="Z240" s="1317"/>
      <c r="AA240" s="1317"/>
      <c r="AB240" s="1317"/>
      <c r="AC240" s="1317"/>
      <c r="AD240" s="1317"/>
      <c r="AE240" s="1317"/>
      <c r="AF240" s="1317"/>
      <c r="AG240" s="1317"/>
      <c r="AH240" s="1317"/>
      <c r="AI240" s="1317"/>
      <c r="AJ240" s="1317"/>
      <c r="AK240" s="1317"/>
    </row>
    <row r="241" spans="1:45" s="1470" customFormat="1" ht="15.9" customHeight="1">
      <c r="A241" s="1472"/>
      <c r="B241" s="2408" t="s">
        <v>1166</v>
      </c>
      <c r="C241" s="2409"/>
      <c r="D241" s="2409"/>
      <c r="E241" s="2409"/>
      <c r="F241" s="1473" t="s">
        <v>1011</v>
      </c>
      <c r="G241" s="2418"/>
      <c r="H241" s="2418"/>
      <c r="I241" s="1474"/>
      <c r="J241" s="1474"/>
      <c r="K241" s="1474"/>
      <c r="L241" s="1474"/>
      <c r="M241" s="1475"/>
      <c r="N241" s="1316"/>
      <c r="O241" s="1472"/>
      <c r="P241" s="1472"/>
      <c r="Q241" s="1472"/>
      <c r="R241" s="1472"/>
      <c r="S241" s="1308"/>
      <c r="T241" s="1308"/>
      <c r="U241" s="1324"/>
      <c r="V241" s="1317"/>
      <c r="W241" s="1317"/>
      <c r="X241" s="1317"/>
      <c r="Y241" s="1317"/>
      <c r="Z241" s="1317"/>
      <c r="AA241" s="1317"/>
      <c r="AB241" s="1317"/>
      <c r="AC241" s="1317"/>
      <c r="AD241" s="1317"/>
      <c r="AE241" s="1317"/>
      <c r="AF241" s="1317"/>
      <c r="AG241" s="1317"/>
      <c r="AH241" s="1317"/>
      <c r="AI241" s="1317"/>
      <c r="AJ241" s="1317"/>
      <c r="AK241" s="1317"/>
    </row>
    <row r="242" spans="1:45" ht="15.9" customHeight="1">
      <c r="A242" s="1316"/>
      <c r="B242" s="2408" t="s">
        <v>967</v>
      </c>
      <c r="C242" s="2409"/>
      <c r="D242" s="2409"/>
      <c r="E242" s="2409"/>
      <c r="F242" s="1473" t="s">
        <v>1011</v>
      </c>
      <c r="G242" s="2418"/>
      <c r="H242" s="2418"/>
      <c r="I242" s="1476"/>
      <c r="J242" s="1476"/>
      <c r="K242" s="1476"/>
      <c r="L242" s="1476"/>
      <c r="M242" s="1477"/>
    </row>
    <row r="243" spans="1:45" ht="15.6">
      <c r="A243" s="1316"/>
      <c r="B243" s="2426" t="s">
        <v>1104</v>
      </c>
      <c r="C243" s="2427"/>
      <c r="D243" s="2427"/>
      <c r="E243" s="2427"/>
      <c r="F243" s="1478">
        <f>0</f>
        <v>0</v>
      </c>
      <c r="G243" s="2418"/>
      <c r="H243" s="2418"/>
      <c r="I243" s="1476"/>
      <c r="J243" s="1476"/>
      <c r="K243" s="1476"/>
      <c r="L243" s="1476"/>
      <c r="M243" s="1477"/>
    </row>
    <row r="244" spans="1:45" ht="15.6">
      <c r="A244" s="1316"/>
      <c r="B244" s="2426" t="s">
        <v>335</v>
      </c>
      <c r="C244" s="2427"/>
      <c r="D244" s="2427"/>
      <c r="E244" s="2427"/>
      <c r="F244" s="1478"/>
      <c r="G244" s="2418"/>
      <c r="H244" s="2418"/>
      <c r="I244" s="1476"/>
      <c r="J244" s="1476"/>
      <c r="K244" s="1476"/>
      <c r="L244" s="1476"/>
      <c r="M244" s="1477"/>
    </row>
    <row r="245" spans="1:45" ht="15.6">
      <c r="A245" s="1384"/>
      <c r="B245" s="2426" t="s">
        <v>338</v>
      </c>
      <c r="C245" s="2427"/>
      <c r="D245" s="2427"/>
      <c r="E245" s="2427"/>
      <c r="F245" s="1478"/>
      <c r="G245" s="2418"/>
      <c r="H245" s="2418"/>
      <c r="I245" s="1479"/>
      <c r="J245" s="1479"/>
      <c r="K245" s="1479"/>
      <c r="L245" s="1479"/>
      <c r="M245" s="1480"/>
      <c r="N245" s="1384"/>
      <c r="O245" s="1384"/>
    </row>
    <row r="246" spans="1:45" ht="16.2" thickBot="1">
      <c r="A246" s="1384"/>
      <c r="B246" s="2600" t="s">
        <v>72</v>
      </c>
      <c r="C246" s="2601"/>
      <c r="D246" s="2601"/>
      <c r="E246" s="2601"/>
      <c r="F246" s="1481">
        <f>SUM(F235:F245)</f>
        <v>0</v>
      </c>
      <c r="G246" s="2602"/>
      <c r="H246" s="2602"/>
      <c r="I246" s="1482"/>
      <c r="J246" s="1482"/>
      <c r="K246" s="1482"/>
      <c r="L246" s="1482"/>
      <c r="M246" s="1483"/>
      <c r="N246" s="1384"/>
      <c r="O246" s="1384"/>
    </row>
    <row r="247" spans="1:45" ht="15.6">
      <c r="A247" s="1384"/>
      <c r="B247" s="1484" t="s">
        <v>972</v>
      </c>
      <c r="C247" s="1485"/>
      <c r="D247" s="1485"/>
      <c r="E247" s="1485"/>
      <c r="F247" s="1485"/>
      <c r="G247" s="1486"/>
      <c r="H247" s="1485"/>
      <c r="I247" s="1485"/>
      <c r="J247" s="1485"/>
      <c r="K247" s="1485"/>
      <c r="L247" s="1485"/>
      <c r="M247" s="1485"/>
      <c r="N247" s="1384"/>
      <c r="O247" s="1384"/>
    </row>
    <row r="248" spans="1:45">
      <c r="A248" s="1384"/>
      <c r="B248" s="1384"/>
      <c r="C248" s="1384"/>
      <c r="D248" s="1384"/>
      <c r="E248" s="1384"/>
      <c r="F248" s="1384"/>
      <c r="G248" s="1384"/>
      <c r="H248" s="1384"/>
      <c r="I248" s="1384"/>
      <c r="J248" s="1384"/>
      <c r="K248" s="1384"/>
      <c r="L248" s="1384"/>
      <c r="M248" s="1384"/>
      <c r="N248" s="1384"/>
      <c r="O248" s="1384"/>
    </row>
    <row r="249" spans="1:45">
      <c r="B249" s="1316"/>
      <c r="C249" s="1316"/>
      <c r="D249" s="1316"/>
      <c r="E249" s="1316"/>
      <c r="F249" s="1316"/>
      <c r="G249" s="1316"/>
      <c r="H249" s="1316"/>
      <c r="I249" s="1316"/>
      <c r="J249" s="1316"/>
      <c r="K249" s="1316"/>
      <c r="L249" s="1316"/>
      <c r="M249" s="1316"/>
    </row>
    <row r="250" spans="1:45" ht="15" thickBot="1">
      <c r="B250" s="1316"/>
      <c r="C250" s="1316"/>
      <c r="D250" s="1316"/>
      <c r="E250" s="1316"/>
      <c r="F250" s="1316"/>
      <c r="G250" s="1316"/>
      <c r="H250" s="1316"/>
      <c r="I250" s="1316"/>
      <c r="J250" s="1316"/>
      <c r="K250" s="1316"/>
      <c r="L250" s="1316"/>
      <c r="M250" s="1316"/>
    </row>
    <row r="251" spans="1:45" ht="18.600000000000001" thickBot="1">
      <c r="B251" s="2603" t="s">
        <v>955</v>
      </c>
      <c r="C251" s="2604"/>
      <c r="D251" s="2604"/>
      <c r="E251" s="2604"/>
      <c r="F251" s="2604"/>
      <c r="G251" s="2604"/>
      <c r="H251" s="2604"/>
      <c r="I251" s="2604"/>
      <c r="J251" s="2604"/>
      <c r="K251" s="2604"/>
      <c r="L251" s="2604"/>
      <c r="M251" s="2605"/>
    </row>
    <row r="252" spans="1:45" ht="18" thickBot="1">
      <c r="B252" s="1487"/>
      <c r="C252" s="1413"/>
      <c r="D252" s="1413"/>
      <c r="E252" s="1413"/>
      <c r="F252" s="1413"/>
      <c r="G252" s="1413"/>
      <c r="H252" s="1488" t="s">
        <v>55</v>
      </c>
      <c r="I252" s="2606" t="s">
        <v>197</v>
      </c>
      <c r="J252" s="2606"/>
      <c r="K252" s="2606" t="s">
        <v>334</v>
      </c>
      <c r="L252" s="2606"/>
      <c r="M252" s="2607"/>
    </row>
    <row r="253" spans="1:45" ht="18" thickBot="1">
      <c r="B253" s="2528" t="s">
        <v>854</v>
      </c>
      <c r="C253" s="2529"/>
      <c r="D253" s="2529"/>
      <c r="E253" s="2529"/>
      <c r="F253" s="2529"/>
      <c r="G253" s="2529"/>
      <c r="H253" s="2529"/>
      <c r="I253" s="2529"/>
      <c r="J253" s="2529"/>
      <c r="K253" s="2529"/>
      <c r="L253" s="2529"/>
      <c r="M253" s="2530"/>
      <c r="T253" s="1409"/>
    </row>
    <row r="254" spans="1:45" ht="36.75" customHeight="1">
      <c r="B254" s="2437" t="s">
        <v>837</v>
      </c>
      <c r="C254" s="2438"/>
      <c r="D254" s="2438"/>
      <c r="E254" s="2438"/>
      <c r="F254" s="2438"/>
      <c r="G254" s="2439"/>
      <c r="H254" s="1572" t="s">
        <v>40</v>
      </c>
      <c r="I254" s="2440"/>
      <c r="J254" s="2440"/>
      <c r="K254" s="2598"/>
      <c r="L254" s="2598"/>
      <c r="M254" s="2599"/>
      <c r="T254" s="1409"/>
    </row>
    <row r="255" spans="1:45" ht="15.6">
      <c r="B255" s="2608" t="s">
        <v>47</v>
      </c>
      <c r="C255" s="2609"/>
      <c r="D255" s="2609"/>
      <c r="E255" s="2609"/>
      <c r="F255" s="2609"/>
      <c r="G255" s="2610"/>
      <c r="H255" s="1552" t="str">
        <f>IF(OR('Fiche projet géothermie'!ch_nappe=TRUE, 'Fiche projet géothermie'!ch_sondes=TRUE), IF(AND(rge_etudes="oui"),"oui","non"),"non concerné")</f>
        <v>oui</v>
      </c>
      <c r="I255" s="2515"/>
      <c r="J255" s="2515"/>
      <c r="K255" s="2590" t="s">
        <v>1062</v>
      </c>
      <c r="L255" s="2591"/>
      <c r="M255" s="2592"/>
    </row>
    <row r="256" spans="1:45" s="1308" customFormat="1" ht="15.6">
      <c r="B256" s="2608" t="s">
        <v>1167</v>
      </c>
      <c r="C256" s="2609"/>
      <c r="D256" s="2609"/>
      <c r="E256" s="2609"/>
      <c r="F256" s="2609"/>
      <c r="G256" s="2610"/>
      <c r="H256" s="1552" t="str">
        <f>B79</f>
        <v>oui</v>
      </c>
      <c r="I256" s="2596"/>
      <c r="J256" s="2597"/>
      <c r="K256" s="2590" t="s">
        <v>1063</v>
      </c>
      <c r="L256" s="2591"/>
      <c r="M256" s="2592"/>
      <c r="N256" s="1316"/>
      <c r="O256" s="1316"/>
      <c r="P256" s="1316"/>
      <c r="Q256" s="1316"/>
      <c r="R256" s="1316"/>
      <c r="U256" s="1324"/>
      <c r="V256" s="1317"/>
      <c r="W256" s="1317"/>
      <c r="X256" s="1317"/>
      <c r="Y256" s="1317"/>
      <c r="Z256" s="1317"/>
      <c r="AA256" s="1317"/>
      <c r="AB256" s="1317"/>
      <c r="AC256" s="1317"/>
      <c r="AD256" s="1317"/>
      <c r="AE256" s="1317"/>
      <c r="AF256" s="1317"/>
      <c r="AG256" s="1317"/>
      <c r="AH256" s="1317"/>
      <c r="AI256" s="1317"/>
      <c r="AJ256" s="1317"/>
      <c r="AK256" s="1317"/>
      <c r="AL256" s="1317"/>
      <c r="AM256" s="1317"/>
      <c r="AN256" s="1317"/>
      <c r="AO256" s="1317"/>
      <c r="AP256" s="1317"/>
      <c r="AQ256" s="1317"/>
      <c r="AR256" s="1317"/>
      <c r="AS256" s="1317"/>
    </row>
    <row r="257" spans="1:45" s="1308" customFormat="1" ht="15.6">
      <c r="B257" s="2509" t="s">
        <v>1010</v>
      </c>
      <c r="C257" s="2510"/>
      <c r="D257" s="2510"/>
      <c r="E257" s="2510"/>
      <c r="F257" s="2510"/>
      <c r="G257" s="2511"/>
      <c r="H257" s="1552" t="s">
        <v>40</v>
      </c>
      <c r="I257" s="2596"/>
      <c r="J257" s="2597"/>
      <c r="K257" s="2590"/>
      <c r="L257" s="2591"/>
      <c r="M257" s="2592"/>
      <c r="N257" s="1316"/>
      <c r="O257" s="1316"/>
      <c r="P257" s="1316"/>
      <c r="Q257" s="1316"/>
      <c r="R257" s="1316"/>
      <c r="U257" s="1324"/>
      <c r="V257" s="1317"/>
      <c r="W257" s="1317"/>
      <c r="X257" s="1317"/>
      <c r="Y257" s="1317"/>
      <c r="Z257" s="1317"/>
      <c r="AA257" s="1317"/>
      <c r="AB257" s="1317"/>
      <c r="AC257" s="1317"/>
      <c r="AD257" s="1317"/>
      <c r="AE257" s="1317"/>
      <c r="AF257" s="1317"/>
      <c r="AG257" s="1317"/>
      <c r="AH257" s="1317"/>
      <c r="AI257" s="1317"/>
      <c r="AJ257" s="1317"/>
      <c r="AK257" s="1317"/>
      <c r="AL257" s="1317"/>
      <c r="AM257" s="1317"/>
      <c r="AN257" s="1317"/>
      <c r="AO257" s="1317"/>
      <c r="AP257" s="1317"/>
      <c r="AQ257" s="1317"/>
      <c r="AR257" s="1317"/>
      <c r="AS257" s="1317"/>
    </row>
    <row r="258" spans="1:45" s="1308" customFormat="1" ht="16.2" thickBot="1">
      <c r="B258" s="2491" t="s">
        <v>596</v>
      </c>
      <c r="C258" s="2492"/>
      <c r="D258" s="2492"/>
      <c r="E258" s="2492"/>
      <c r="F258" s="2492"/>
      <c r="G258" s="2492"/>
      <c r="H258" s="2492"/>
      <c r="I258" s="2492"/>
      <c r="J258" s="2492"/>
      <c r="K258" s="2492"/>
      <c r="L258" s="2492"/>
      <c r="M258" s="2493"/>
      <c r="N258" s="1316"/>
      <c r="O258" s="1316"/>
      <c r="P258" s="1316"/>
      <c r="Q258" s="1316"/>
      <c r="R258" s="1316"/>
      <c r="U258" s="1324"/>
      <c r="V258" s="1317"/>
      <c r="W258" s="1317"/>
      <c r="X258" s="1317"/>
      <c r="Y258" s="1317"/>
      <c r="Z258" s="1317"/>
      <c r="AA258" s="1317"/>
      <c r="AB258" s="1317"/>
      <c r="AC258" s="1317"/>
      <c r="AD258" s="1317"/>
      <c r="AE258" s="1317"/>
      <c r="AF258" s="1317"/>
      <c r="AG258" s="1317"/>
      <c r="AH258" s="1317"/>
      <c r="AI258" s="1317"/>
      <c r="AJ258" s="1317"/>
      <c r="AK258" s="1317"/>
      <c r="AL258" s="1317"/>
      <c r="AM258" s="1317"/>
      <c r="AN258" s="1317"/>
      <c r="AO258" s="1317"/>
      <c r="AP258" s="1317"/>
      <c r="AQ258" s="1317"/>
      <c r="AR258" s="1317"/>
      <c r="AS258" s="1317"/>
    </row>
    <row r="259" spans="1:45" s="1308" customFormat="1" ht="15.75" customHeight="1" thickBot="1">
      <c r="B259" s="2593" t="s">
        <v>1156</v>
      </c>
      <c r="C259" s="2594"/>
      <c r="D259" s="2594"/>
      <c r="E259" s="2594"/>
      <c r="F259" s="2594"/>
      <c r="G259" s="2595"/>
      <c r="H259" s="1675" t="str">
        <f>ch_BEt_et_sous_sol</f>
        <v>non concerné</v>
      </c>
      <c r="I259" s="2435"/>
      <c r="J259" s="2436"/>
      <c r="K259" s="2494" t="s">
        <v>1062</v>
      </c>
      <c r="L259" s="2495"/>
      <c r="M259" s="2496"/>
      <c r="N259" s="1316"/>
      <c r="O259" s="1316"/>
      <c r="P259" s="1316"/>
      <c r="Q259" s="1316"/>
      <c r="R259" s="1316"/>
      <c r="U259" s="1324"/>
      <c r="V259" s="1317"/>
      <c r="W259" s="1317"/>
      <c r="X259" s="1317"/>
      <c r="Y259" s="1317"/>
      <c r="Z259" s="1317"/>
      <c r="AA259" s="1317"/>
      <c r="AB259" s="1317"/>
      <c r="AC259" s="1317"/>
      <c r="AD259" s="1317"/>
      <c r="AE259" s="1317"/>
      <c r="AF259" s="1317"/>
      <c r="AG259" s="1317"/>
      <c r="AH259" s="1317"/>
      <c r="AI259" s="1317"/>
      <c r="AJ259" s="1317"/>
      <c r="AK259" s="1317"/>
      <c r="AL259" s="1317"/>
      <c r="AM259" s="1317"/>
      <c r="AN259" s="1317"/>
      <c r="AO259" s="1317"/>
      <c r="AP259" s="1317"/>
      <c r="AQ259" s="1317"/>
      <c r="AR259" s="1317"/>
      <c r="AS259" s="1317"/>
    </row>
    <row r="260" spans="1:45" s="1308" customFormat="1" ht="54" customHeight="1" thickBot="1">
      <c r="B260" s="2509" t="s">
        <v>1152</v>
      </c>
      <c r="C260" s="2510"/>
      <c r="D260" s="2510"/>
      <c r="E260" s="2510"/>
      <c r="F260" s="2510"/>
      <c r="G260" s="2511"/>
      <c r="H260" s="1675" t="str">
        <f>IF(type_pac="PAC gaz à absorption",IF(ch_chauffage=TRUE,IF(cop_chaud&gt;=1.55,"oui","non"),"non concerné"), IF(ch_chauffage=TRUE,IF(cop_chaud&gt;=4.5,"oui","non"),"non concerné"))</f>
        <v>oui</v>
      </c>
      <c r="I260" s="2435"/>
      <c r="J260" s="2436"/>
      <c r="K260" s="2415" t="s">
        <v>1065</v>
      </c>
      <c r="L260" s="2416"/>
      <c r="M260" s="2417"/>
      <c r="N260" s="1316"/>
      <c r="O260" s="1316"/>
      <c r="P260" s="1316"/>
      <c r="Q260" s="1316"/>
      <c r="R260" s="1316"/>
      <c r="U260" s="1324"/>
      <c r="V260" s="1317"/>
      <c r="W260" s="1317"/>
      <c r="X260" s="1317"/>
      <c r="Y260" s="1317"/>
      <c r="Z260" s="1317"/>
      <c r="AA260" s="1317"/>
      <c r="AB260" s="1317"/>
      <c r="AC260" s="1317"/>
      <c r="AD260" s="1317"/>
      <c r="AE260" s="1317"/>
      <c r="AF260" s="1317"/>
      <c r="AG260" s="1317"/>
      <c r="AH260" s="1317"/>
      <c r="AI260" s="1317"/>
      <c r="AJ260" s="1317"/>
      <c r="AK260" s="1317"/>
      <c r="AL260" s="1317"/>
      <c r="AM260" s="1317"/>
      <c r="AN260" s="1317"/>
      <c r="AO260" s="1317"/>
      <c r="AP260" s="1317"/>
      <c r="AQ260" s="1317"/>
      <c r="AR260" s="1317"/>
      <c r="AS260" s="1317"/>
    </row>
    <row r="261" spans="1:45" s="1308" customFormat="1" ht="29.25" customHeight="1" thickBot="1">
      <c r="B261" s="2509" t="s">
        <v>1139</v>
      </c>
      <c r="C261" s="2510"/>
      <c r="D261" s="2510"/>
      <c r="E261" s="2510"/>
      <c r="F261" s="2510"/>
      <c r="G261" s="2511"/>
      <c r="H261" s="1675" t="str">
        <f>IF(ch_froidactif=TRUE,IF(eer_froidactif&gt;=3.6,"oui","non"))</f>
        <v>oui</v>
      </c>
      <c r="I261" s="2435"/>
      <c r="J261" s="2436"/>
      <c r="K261" s="2415"/>
      <c r="L261" s="2416"/>
      <c r="M261" s="2417"/>
      <c r="N261" s="1316"/>
      <c r="O261" s="1316"/>
      <c r="P261" s="1316"/>
      <c r="Q261" s="1316"/>
      <c r="R261" s="1316"/>
      <c r="U261" s="1324"/>
      <c r="V261" s="1317"/>
      <c r="W261" s="1317"/>
      <c r="X261" s="1317"/>
      <c r="Y261" s="1317"/>
      <c r="Z261" s="1317"/>
      <c r="AA261" s="1317"/>
      <c r="AB261" s="1317"/>
      <c r="AC261" s="1317"/>
      <c r="AD261" s="1317"/>
      <c r="AE261" s="1317"/>
      <c r="AF261" s="1317"/>
      <c r="AG261" s="1317"/>
      <c r="AH261" s="1317"/>
      <c r="AI261" s="1317"/>
      <c r="AJ261" s="1317"/>
      <c r="AK261" s="1317"/>
      <c r="AL261" s="1317"/>
      <c r="AM261" s="1317"/>
      <c r="AN261" s="1317"/>
      <c r="AO261" s="1317"/>
      <c r="AP261" s="1317"/>
      <c r="AQ261" s="1317"/>
      <c r="AR261" s="1317"/>
      <c r="AS261" s="1317"/>
    </row>
    <row r="262" spans="1:45" s="1308" customFormat="1" ht="15" thickBot="1">
      <c r="B262" s="2509" t="s">
        <v>1140</v>
      </c>
      <c r="C262" s="2510"/>
      <c r="D262" s="2510"/>
      <c r="E262" s="2510"/>
      <c r="F262" s="2510"/>
      <c r="G262" s="2511"/>
      <c r="H262" s="1675" t="e">
        <f>IF(ch_froidactif=TRUE,IF(seer&gt;=3.3,"oui","non"))</f>
        <v>#VALUE!</v>
      </c>
      <c r="I262" s="2435"/>
      <c r="J262" s="2436"/>
      <c r="K262" s="1491"/>
      <c r="L262" s="1492"/>
      <c r="M262" s="1493"/>
      <c r="N262" s="1316"/>
      <c r="O262" s="1316"/>
      <c r="P262" s="1316"/>
      <c r="Q262" s="1316"/>
      <c r="R262" s="1316"/>
      <c r="U262" s="1324"/>
      <c r="V262" s="1317"/>
      <c r="W262" s="1317"/>
      <c r="X262" s="1317"/>
      <c r="Y262" s="1317"/>
      <c r="Z262" s="1317"/>
      <c r="AA262" s="1317"/>
      <c r="AB262" s="1317"/>
      <c r="AC262" s="1317"/>
      <c r="AD262" s="1317"/>
      <c r="AE262" s="1317"/>
      <c r="AF262" s="1317"/>
      <c r="AG262" s="1317"/>
      <c r="AH262" s="1317"/>
      <c r="AI262" s="1317"/>
      <c r="AJ262" s="1317"/>
      <c r="AK262" s="1317"/>
      <c r="AL262" s="1317"/>
      <c r="AM262" s="1317"/>
      <c r="AN262" s="1317"/>
      <c r="AO262" s="1317"/>
      <c r="AP262" s="1317"/>
      <c r="AQ262" s="1317"/>
      <c r="AR262" s="1317"/>
      <c r="AS262" s="1317"/>
    </row>
    <row r="263" spans="1:45" s="1308" customFormat="1" ht="53.25" customHeight="1" thickBot="1">
      <c r="B263" s="2503" t="s">
        <v>864</v>
      </c>
      <c r="C263" s="2504"/>
      <c r="D263" s="2504"/>
      <c r="E263" s="2504"/>
      <c r="F263" s="2504"/>
      <c r="G263" s="2505"/>
      <c r="H263" s="1675" t="e">
        <f>IF(ch_chauffage=TRUE,IF(scop_chaud&gt;=3,"oui","non"))</f>
        <v>#VALUE!</v>
      </c>
      <c r="I263" s="2435"/>
      <c r="J263" s="2436"/>
      <c r="K263" s="2494" t="s">
        <v>1065</v>
      </c>
      <c r="L263" s="2495"/>
      <c r="M263" s="2496"/>
      <c r="N263" s="1316"/>
      <c r="O263" s="1316"/>
      <c r="P263" s="1316"/>
      <c r="Q263" s="1316"/>
      <c r="R263" s="1316"/>
      <c r="U263" s="1324"/>
      <c r="V263" s="1317"/>
      <c r="W263" s="1317"/>
      <c r="X263" s="1317"/>
      <c r="Y263" s="1317"/>
      <c r="Z263" s="1317"/>
      <c r="AA263" s="1317"/>
      <c r="AB263" s="1317"/>
      <c r="AC263" s="1317"/>
      <c r="AD263" s="1317"/>
      <c r="AE263" s="1317"/>
      <c r="AF263" s="1317"/>
      <c r="AG263" s="1317"/>
      <c r="AH263" s="1317"/>
      <c r="AI263" s="1317"/>
      <c r="AJ263" s="1317"/>
      <c r="AK263" s="1317"/>
      <c r="AL263" s="1317"/>
      <c r="AM263" s="1317"/>
      <c r="AN263" s="1317"/>
      <c r="AO263" s="1317"/>
      <c r="AP263" s="1317"/>
      <c r="AQ263" s="1317"/>
      <c r="AR263" s="1317"/>
      <c r="AS263" s="1317"/>
    </row>
    <row r="264" spans="1:45" s="1316" customFormat="1">
      <c r="A264" s="1308"/>
      <c r="B264" s="2497" t="s">
        <v>1155</v>
      </c>
      <c r="C264" s="2498"/>
      <c r="D264" s="2498"/>
      <c r="E264" s="2498"/>
      <c r="F264" s="2498"/>
      <c r="G264" s="2499"/>
      <c r="H264" s="1675" t="e">
        <f>IF(G156&gt;1000,"oui","non")</f>
        <v>#VALUE!</v>
      </c>
      <c r="I264" s="2500"/>
      <c r="J264" s="2500"/>
      <c r="K264" s="2489" t="s">
        <v>1064</v>
      </c>
      <c r="L264" s="2489"/>
      <c r="M264" s="2490"/>
      <c r="S264" s="1308"/>
      <c r="T264" s="1308"/>
      <c r="U264" s="1324"/>
      <c r="V264" s="1317"/>
      <c r="W264" s="1317"/>
      <c r="X264" s="1317"/>
      <c r="Y264" s="1317"/>
      <c r="Z264" s="1317"/>
      <c r="AA264" s="1317"/>
      <c r="AB264" s="1317"/>
      <c r="AC264" s="1317"/>
      <c r="AD264" s="1317"/>
      <c r="AE264" s="1317"/>
      <c r="AF264" s="1317"/>
      <c r="AG264" s="1317"/>
      <c r="AH264" s="1317"/>
      <c r="AI264" s="1317"/>
      <c r="AJ264" s="1317"/>
      <c r="AK264" s="1317"/>
      <c r="AL264" s="1317"/>
      <c r="AM264" s="1317"/>
      <c r="AN264" s="1317"/>
      <c r="AO264" s="1317"/>
      <c r="AP264" s="1317"/>
      <c r="AQ264" s="1317"/>
      <c r="AR264" s="1317"/>
      <c r="AS264" s="1317"/>
    </row>
    <row r="265" spans="1:45" s="1308" customFormat="1" ht="15.6">
      <c r="B265" s="2491" t="s">
        <v>978</v>
      </c>
      <c r="C265" s="2492"/>
      <c r="D265" s="2492"/>
      <c r="E265" s="2492"/>
      <c r="F265" s="2492"/>
      <c r="G265" s="2492"/>
      <c r="H265" s="2492"/>
      <c r="I265" s="2492"/>
      <c r="J265" s="2492"/>
      <c r="K265" s="2492"/>
      <c r="L265" s="2492"/>
      <c r="M265" s="2493"/>
      <c r="N265" s="1316"/>
      <c r="O265" s="1316"/>
      <c r="P265" s="1316"/>
      <c r="Q265" s="1316"/>
      <c r="R265" s="1316"/>
      <c r="U265" s="1324"/>
      <c r="V265" s="1317"/>
      <c r="W265" s="1317"/>
      <c r="X265" s="1317"/>
      <c r="Y265" s="1317"/>
      <c r="Z265" s="1317"/>
      <c r="AA265" s="1317"/>
      <c r="AB265" s="1317"/>
      <c r="AC265" s="1317"/>
      <c r="AD265" s="1317"/>
      <c r="AE265" s="1317"/>
      <c r="AF265" s="1317"/>
      <c r="AG265" s="1317"/>
      <c r="AH265" s="1317"/>
      <c r="AI265" s="1317"/>
      <c r="AJ265" s="1317"/>
      <c r="AK265" s="1317"/>
      <c r="AL265" s="1317"/>
      <c r="AM265" s="1317"/>
      <c r="AN265" s="1317"/>
      <c r="AO265" s="1317"/>
      <c r="AP265" s="1317"/>
      <c r="AQ265" s="1317"/>
      <c r="AR265" s="1317"/>
      <c r="AS265" s="1317"/>
    </row>
    <row r="266" spans="1:45" s="1308" customFormat="1" ht="84.75" customHeight="1">
      <c r="B266" s="2509" t="s">
        <v>846</v>
      </c>
      <c r="C266" s="2510"/>
      <c r="D266" s="2510"/>
      <c r="E266" s="2510"/>
      <c r="F266" s="2510"/>
      <c r="G266" s="2511"/>
      <c r="H266" s="1404" t="s">
        <v>40</v>
      </c>
      <c r="I266" s="2440"/>
      <c r="J266" s="2440"/>
      <c r="K266" s="1491"/>
      <c r="L266" s="1492"/>
      <c r="M266" s="1493"/>
      <c r="N266" s="2554"/>
      <c r="O266" s="2555"/>
      <c r="P266" s="2555"/>
      <c r="Q266" s="1316"/>
      <c r="R266" s="1316"/>
      <c r="U266" s="1324"/>
      <c r="V266" s="1317"/>
      <c r="W266" s="1317"/>
      <c r="X266" s="1317"/>
      <c r="Y266" s="1317"/>
      <c r="Z266" s="1317"/>
      <c r="AA266" s="1317"/>
      <c r="AB266" s="1317"/>
      <c r="AC266" s="1317"/>
      <c r="AD266" s="1317"/>
      <c r="AE266" s="1317"/>
      <c r="AF266" s="1317"/>
      <c r="AG266" s="1317"/>
      <c r="AH266" s="1317"/>
      <c r="AI266" s="1317"/>
      <c r="AJ266" s="1317"/>
      <c r="AK266" s="1317"/>
      <c r="AL266" s="1317"/>
      <c r="AM266" s="1317"/>
      <c r="AN266" s="1317"/>
      <c r="AO266" s="1317"/>
      <c r="AP266" s="1317"/>
      <c r="AQ266" s="1317"/>
      <c r="AR266" s="1317"/>
      <c r="AS266" s="1317"/>
    </row>
    <row r="267" spans="1:45" s="1308" customFormat="1" ht="90.75" customHeight="1">
      <c r="B267" s="2509" t="s">
        <v>1153</v>
      </c>
      <c r="C267" s="2510"/>
      <c r="D267" s="2510"/>
      <c r="E267" s="2510"/>
      <c r="F267" s="2510"/>
      <c r="G267" s="2511"/>
      <c r="H267" s="1494" t="str">
        <f>IF(type_pac="PAC gaz à absorption",IF(ch_chauffage=TRUE,IF(cop_chaud&gt;=1.43,"oui","non"),"non concerné"), IF(ch_chauffage=TRUE,IF(cop_chaud&gt;=4,"oui","non"),"non concerné"))</f>
        <v>oui</v>
      </c>
      <c r="I267" s="2440"/>
      <c r="J267" s="2440"/>
      <c r="K267" s="2415" t="s">
        <v>1065</v>
      </c>
      <c r="L267" s="2416"/>
      <c r="M267" s="2417"/>
      <c r="N267" s="1316"/>
      <c r="O267" s="1316"/>
      <c r="P267" s="1316"/>
      <c r="Q267" s="1316"/>
      <c r="R267" s="1316"/>
      <c r="T267" s="1409"/>
      <c r="U267" s="1324"/>
      <c r="V267" s="1317"/>
      <c r="W267" s="1317"/>
      <c r="X267" s="1317"/>
      <c r="Y267" s="1317"/>
      <c r="Z267" s="1317"/>
      <c r="AA267" s="1317"/>
      <c r="AB267" s="1317"/>
      <c r="AC267" s="1317"/>
      <c r="AD267" s="1317"/>
      <c r="AE267" s="1317"/>
      <c r="AF267" s="1317"/>
      <c r="AG267" s="1317"/>
      <c r="AH267" s="1317"/>
      <c r="AI267" s="1317"/>
      <c r="AJ267" s="1317"/>
      <c r="AK267" s="1317"/>
      <c r="AL267" s="1317"/>
      <c r="AM267" s="1317"/>
      <c r="AN267" s="1317"/>
      <c r="AO267" s="1317"/>
      <c r="AP267" s="1317"/>
      <c r="AQ267" s="1317"/>
      <c r="AR267" s="1317"/>
      <c r="AS267" s="1317"/>
    </row>
    <row r="268" spans="1:45" s="1308" customFormat="1" ht="66" customHeight="1">
      <c r="B268" s="2509" t="s">
        <v>1139</v>
      </c>
      <c r="C268" s="2510"/>
      <c r="D268" s="2510"/>
      <c r="E268" s="2510"/>
      <c r="F268" s="2510"/>
      <c r="G268" s="2511"/>
      <c r="H268" s="1494" t="str">
        <f>IF(ch_froidactif=TRUE,IF(eer_froidactif&gt;=3.6,"oui","non"))</f>
        <v>oui</v>
      </c>
      <c r="I268" s="2440"/>
      <c r="J268" s="2440"/>
      <c r="K268" s="1495"/>
      <c r="L268" s="1496"/>
      <c r="M268" s="1497"/>
      <c r="N268" s="1316"/>
      <c r="O268" s="1316"/>
      <c r="P268" s="1316"/>
      <c r="Q268" s="1316"/>
      <c r="R268" s="1316"/>
      <c r="T268" s="1409"/>
      <c r="U268" s="1324"/>
      <c r="V268" s="1317"/>
      <c r="W268" s="1317"/>
      <c r="X268" s="1317"/>
      <c r="Y268" s="1317"/>
      <c r="Z268" s="1317"/>
      <c r="AA268" s="1317"/>
      <c r="AB268" s="1317"/>
      <c r="AC268" s="1317"/>
      <c r="AD268" s="1317"/>
      <c r="AE268" s="1317"/>
      <c r="AF268" s="1317"/>
      <c r="AG268" s="1317"/>
      <c r="AH268" s="1317"/>
      <c r="AI268" s="1317"/>
      <c r="AJ268" s="1317"/>
      <c r="AK268" s="1317"/>
      <c r="AL268" s="1317"/>
      <c r="AM268" s="1317"/>
      <c r="AN268" s="1317"/>
      <c r="AO268" s="1317"/>
      <c r="AP268" s="1317"/>
      <c r="AQ268" s="1317"/>
      <c r="AR268" s="1317"/>
      <c r="AS268" s="1317"/>
    </row>
    <row r="269" spans="1:45" s="1308" customFormat="1" ht="70.5" customHeight="1">
      <c r="B269" s="2509" t="s">
        <v>1140</v>
      </c>
      <c r="C269" s="2510"/>
      <c r="D269" s="2510"/>
      <c r="E269" s="2510"/>
      <c r="F269" s="2510"/>
      <c r="G269" s="2511"/>
      <c r="H269" s="1494" t="e">
        <f>IF(ch_froidactif=TRUE,IF(seer&gt;=3.3,"oui","non éligible "))</f>
        <v>#VALUE!</v>
      </c>
      <c r="I269" s="2440"/>
      <c r="J269" s="2440"/>
      <c r="K269" s="1495"/>
      <c r="L269" s="1496"/>
      <c r="M269" s="1497"/>
      <c r="N269" s="1316"/>
      <c r="O269" s="1316"/>
      <c r="P269" s="1316"/>
      <c r="Q269" s="1316"/>
      <c r="R269" s="1316"/>
      <c r="T269" s="1409"/>
      <c r="U269" s="1324"/>
      <c r="V269" s="1317"/>
      <c r="W269" s="1317"/>
      <c r="X269" s="1317"/>
      <c r="Y269" s="1317"/>
      <c r="Z269" s="1317"/>
      <c r="AA269" s="1317"/>
      <c r="AB269" s="1317"/>
      <c r="AC269" s="1317"/>
      <c r="AD269" s="1317"/>
      <c r="AE269" s="1317"/>
      <c r="AF269" s="1317"/>
      <c r="AG269" s="1317"/>
      <c r="AH269" s="1317"/>
      <c r="AI269" s="1317"/>
      <c r="AJ269" s="1317"/>
      <c r="AK269" s="1317"/>
      <c r="AL269" s="1317"/>
      <c r="AM269" s="1317"/>
      <c r="AN269" s="1317"/>
      <c r="AO269" s="1317"/>
      <c r="AP269" s="1317"/>
      <c r="AQ269" s="1317"/>
      <c r="AR269" s="1317"/>
      <c r="AS269" s="1317"/>
    </row>
    <row r="270" spans="1:45" s="1308" customFormat="1" ht="107.25" customHeight="1" thickBot="1">
      <c r="B270" s="2503" t="s">
        <v>861</v>
      </c>
      <c r="C270" s="2504"/>
      <c r="D270" s="2504"/>
      <c r="E270" s="2504"/>
      <c r="F270" s="2504"/>
      <c r="G270" s="2505"/>
      <c r="H270" s="1494" t="e">
        <f>IF(ch_chauffage=TRUE,IF(scop_chaud&gt;=3,"oui","non"))</f>
        <v>#VALUE!</v>
      </c>
      <c r="I270" s="2440"/>
      <c r="J270" s="2440"/>
      <c r="K270" s="2506" t="s">
        <v>1065</v>
      </c>
      <c r="L270" s="2507"/>
      <c r="M270" s="2508"/>
      <c r="N270" s="1316"/>
      <c r="O270" s="1316"/>
      <c r="P270" s="1316"/>
      <c r="Q270" s="1316"/>
      <c r="R270" s="1316"/>
      <c r="T270" s="1409"/>
      <c r="U270" s="1324"/>
      <c r="V270" s="1317"/>
      <c r="W270" s="1317"/>
      <c r="X270" s="1317"/>
      <c r="Y270" s="1317"/>
      <c r="Z270" s="1317"/>
      <c r="AA270" s="1317"/>
      <c r="AB270" s="1317"/>
      <c r="AC270" s="1317"/>
      <c r="AD270" s="1317"/>
      <c r="AE270" s="1317"/>
      <c r="AF270" s="1317"/>
      <c r="AG270" s="1317"/>
      <c r="AH270" s="1317"/>
      <c r="AI270" s="1317"/>
      <c r="AJ270" s="1317"/>
      <c r="AK270" s="1317"/>
      <c r="AL270" s="1317"/>
      <c r="AM270" s="1317"/>
      <c r="AN270" s="1317"/>
      <c r="AO270" s="1317"/>
      <c r="AP270" s="1317"/>
      <c r="AQ270" s="1317"/>
      <c r="AR270" s="1317"/>
      <c r="AS270" s="1317"/>
    </row>
    <row r="271" spans="1:45" s="1308" customFormat="1">
      <c r="B271" s="2497" t="s">
        <v>1305</v>
      </c>
      <c r="C271" s="2498"/>
      <c r="D271" s="2498"/>
      <c r="E271" s="2498"/>
      <c r="F271" s="2498"/>
      <c r="G271" s="2499"/>
      <c r="H271" s="1498" t="e">
        <f>IF(G156&gt;1000,"oui","non")</f>
        <v>#VALUE!</v>
      </c>
      <c r="I271" s="2500"/>
      <c r="J271" s="2500"/>
      <c r="K271" s="2501" t="s">
        <v>1064</v>
      </c>
      <c r="L271" s="2501"/>
      <c r="M271" s="2502"/>
      <c r="N271" s="1316"/>
      <c r="O271" s="1316"/>
      <c r="P271" s="1316"/>
      <c r="Q271" s="1316"/>
      <c r="R271" s="1316"/>
      <c r="U271" s="1324"/>
      <c r="V271" s="1317"/>
      <c r="W271" s="1317"/>
      <c r="X271" s="1317"/>
      <c r="Y271" s="1317"/>
      <c r="Z271" s="1317"/>
      <c r="AA271" s="1317"/>
      <c r="AB271" s="1317"/>
      <c r="AC271" s="1317"/>
      <c r="AD271" s="1317"/>
      <c r="AE271" s="1317"/>
      <c r="AF271" s="1317"/>
      <c r="AG271" s="1317"/>
      <c r="AH271" s="1317"/>
      <c r="AI271" s="1317"/>
      <c r="AJ271" s="1317"/>
      <c r="AK271" s="1317"/>
      <c r="AL271" s="1317"/>
      <c r="AM271" s="1317"/>
      <c r="AN271" s="1317"/>
      <c r="AO271" s="1317"/>
      <c r="AP271" s="1317"/>
      <c r="AQ271" s="1317"/>
      <c r="AR271" s="1317"/>
      <c r="AS271" s="1317"/>
    </row>
    <row r="272" spans="1:45" s="1316" customFormat="1" ht="16.2" thickBot="1">
      <c r="A272" s="1308"/>
      <c r="B272" s="2491" t="s">
        <v>842</v>
      </c>
      <c r="C272" s="2492"/>
      <c r="D272" s="2492"/>
      <c r="E272" s="2492"/>
      <c r="F272" s="2492"/>
      <c r="G272" s="2492"/>
      <c r="H272" s="2492"/>
      <c r="I272" s="2492"/>
      <c r="J272" s="2492"/>
      <c r="K272" s="2492"/>
      <c r="L272" s="2492"/>
      <c r="M272" s="2493"/>
      <c r="S272" s="1308"/>
      <c r="T272" s="1308"/>
      <c r="U272" s="1324"/>
      <c r="V272" s="1317"/>
      <c r="W272" s="1317"/>
      <c r="X272" s="1317"/>
      <c r="Y272" s="1317"/>
      <c r="Z272" s="1317"/>
      <c r="AA272" s="1317"/>
      <c r="AB272" s="1317"/>
      <c r="AC272" s="1317"/>
      <c r="AD272" s="1317"/>
      <c r="AE272" s="1317"/>
      <c r="AF272" s="1317"/>
      <c r="AG272" s="1317"/>
      <c r="AH272" s="1317"/>
      <c r="AI272" s="1317"/>
      <c r="AJ272" s="1317"/>
      <c r="AK272" s="1317"/>
      <c r="AL272" s="1317"/>
      <c r="AM272" s="1317"/>
      <c r="AN272" s="1317"/>
      <c r="AO272" s="1317"/>
      <c r="AP272" s="1317"/>
      <c r="AQ272" s="1317"/>
      <c r="AR272" s="1317"/>
      <c r="AS272" s="1317"/>
    </row>
    <row r="273" spans="1:45" s="1316" customFormat="1" ht="15.75" customHeight="1">
      <c r="A273" s="1308"/>
      <c r="B273" s="2544" t="s">
        <v>853</v>
      </c>
      <c r="C273" s="2545"/>
      <c r="D273" s="2545"/>
      <c r="E273" s="2545"/>
      <c r="F273" s="2545"/>
      <c r="G273" s="2546"/>
      <c r="H273" s="1572" t="s">
        <v>40</v>
      </c>
      <c r="I273" s="2440"/>
      <c r="J273" s="2440"/>
      <c r="K273" s="2512"/>
      <c r="L273" s="2512"/>
      <c r="M273" s="2513"/>
      <c r="S273" s="1308"/>
      <c r="T273" s="1308"/>
      <c r="U273" s="1324"/>
      <c r="V273" s="1317"/>
      <c r="W273" s="1317"/>
      <c r="X273" s="1317"/>
      <c r="Y273" s="1317"/>
      <c r="Z273" s="1317"/>
      <c r="AA273" s="1317"/>
      <c r="AB273" s="1317"/>
      <c r="AC273" s="1317"/>
      <c r="AD273" s="1317"/>
      <c r="AE273" s="1317"/>
      <c r="AF273" s="1317"/>
      <c r="AG273" s="1317"/>
      <c r="AH273" s="1317"/>
      <c r="AI273" s="1317"/>
      <c r="AJ273" s="1317"/>
      <c r="AK273" s="1317"/>
      <c r="AL273" s="1317"/>
      <c r="AM273" s="1317"/>
      <c r="AN273" s="1317"/>
      <c r="AO273" s="1317"/>
      <c r="AP273" s="1317"/>
      <c r="AQ273" s="1317"/>
      <c r="AR273" s="1317"/>
      <c r="AS273" s="1317"/>
    </row>
    <row r="274" spans="1:45" s="1316" customFormat="1" ht="90.75" customHeight="1">
      <c r="A274" s="1308"/>
      <c r="B274" s="2509" t="s">
        <v>1151</v>
      </c>
      <c r="C274" s="2510"/>
      <c r="D274" s="2510"/>
      <c r="E274" s="2510"/>
      <c r="F274" s="2510"/>
      <c r="G274" s="2511"/>
      <c r="H274" s="1494" t="str">
        <f>IF(type_pac="PAC gaz à absorption",IF(ch_chauffage=TRUE,IF(cop_chaud&gt;=1.55,"oui","non"),"non concerné"), IF(ch_chauffage=TRUE,IF(cop_chaud&gt;=4,"oui","non"),"non concerné"))</f>
        <v>oui</v>
      </c>
      <c r="I274" s="2440"/>
      <c r="J274" s="2440"/>
      <c r="K274" s="2512"/>
      <c r="L274" s="2512"/>
      <c r="M274" s="2513"/>
      <c r="S274" s="1308"/>
      <c r="T274" s="1308"/>
      <c r="U274" s="1324"/>
      <c r="V274" s="1317"/>
      <c r="W274" s="1317"/>
      <c r="X274" s="1317"/>
      <c r="Y274" s="1317"/>
      <c r="Z274" s="1317"/>
      <c r="AA274" s="1317"/>
      <c r="AB274" s="1317"/>
      <c r="AC274" s="1317"/>
      <c r="AD274" s="1317"/>
      <c r="AE274" s="1317"/>
      <c r="AF274" s="1317"/>
      <c r="AG274" s="1317"/>
      <c r="AH274" s="1317"/>
      <c r="AI274" s="1317"/>
      <c r="AJ274" s="1317"/>
      <c r="AK274" s="1317"/>
      <c r="AL274" s="1317"/>
      <c r="AM274" s="1317"/>
      <c r="AN274" s="1317"/>
      <c r="AO274" s="1317"/>
      <c r="AP274" s="1317"/>
      <c r="AQ274" s="1317"/>
      <c r="AR274" s="1317"/>
      <c r="AS274" s="1317"/>
    </row>
    <row r="275" spans="1:45" s="1316" customFormat="1" ht="90.75" customHeight="1">
      <c r="A275" s="1308"/>
      <c r="B275" s="2509" t="s">
        <v>1139</v>
      </c>
      <c r="C275" s="2510"/>
      <c r="D275" s="2510"/>
      <c r="E275" s="2510"/>
      <c r="F275" s="2510"/>
      <c r="G275" s="2511"/>
      <c r="H275" s="1494" t="str">
        <f>IF(ch_froidactif=TRUE,IF(eer_froid&gt;=3.6,"oui","non éligible"))</f>
        <v>oui</v>
      </c>
      <c r="I275" s="2440"/>
      <c r="J275" s="2440"/>
      <c r="K275" s="2512"/>
      <c r="L275" s="2512"/>
      <c r="M275" s="2513"/>
      <c r="S275" s="1308"/>
      <c r="T275" s="1308"/>
      <c r="U275" s="1324"/>
      <c r="V275" s="1317"/>
      <c r="W275" s="1317"/>
      <c r="X275" s="1317"/>
      <c r="Y275" s="1317"/>
      <c r="Z275" s="1317"/>
      <c r="AA275" s="1317"/>
      <c r="AB275" s="1317"/>
      <c r="AC275" s="1317"/>
      <c r="AD275" s="1317"/>
      <c r="AE275" s="1317"/>
      <c r="AF275" s="1317"/>
      <c r="AG275" s="1317"/>
      <c r="AH275" s="1317"/>
      <c r="AI275" s="1317"/>
      <c r="AJ275" s="1317"/>
      <c r="AK275" s="1317"/>
      <c r="AL275" s="1317"/>
      <c r="AM275" s="1317"/>
      <c r="AN275" s="1317"/>
      <c r="AO275" s="1317"/>
      <c r="AP275" s="1317"/>
      <c r="AQ275" s="1317"/>
      <c r="AR275" s="1317"/>
      <c r="AS275" s="1317"/>
    </row>
    <row r="276" spans="1:45" s="1316" customFormat="1" ht="90.75" customHeight="1">
      <c r="A276" s="1308"/>
      <c r="B276" s="2509" t="s">
        <v>1140</v>
      </c>
      <c r="C276" s="2510"/>
      <c r="D276" s="2510"/>
      <c r="E276" s="2510"/>
      <c r="F276" s="2510"/>
      <c r="G276" s="2511"/>
      <c r="H276" s="1494" t="e">
        <f>IF(ch_froidactif=TRUE,IF(seer&gt;=3.3,"oui","non éligible"))</f>
        <v>#VALUE!</v>
      </c>
      <c r="I276" s="2440"/>
      <c r="J276" s="2440"/>
      <c r="K276" s="2512"/>
      <c r="L276" s="2512"/>
      <c r="M276" s="2513"/>
      <c r="S276" s="1308"/>
      <c r="T276" s="1308"/>
      <c r="U276" s="1324"/>
      <c r="V276" s="1317"/>
      <c r="W276" s="1317"/>
      <c r="X276" s="1317"/>
      <c r="Y276" s="1317"/>
      <c r="Z276" s="1317"/>
      <c r="AA276" s="1317"/>
      <c r="AB276" s="1317"/>
      <c r="AC276" s="1317"/>
      <c r="AD276" s="1317"/>
      <c r="AE276" s="1317"/>
      <c r="AF276" s="1317"/>
      <c r="AG276" s="1317"/>
      <c r="AH276" s="1317"/>
      <c r="AI276" s="1317"/>
      <c r="AJ276" s="1317"/>
      <c r="AK276" s="1317"/>
      <c r="AL276" s="1317"/>
      <c r="AM276" s="1317"/>
      <c r="AN276" s="1317"/>
      <c r="AO276" s="1317"/>
      <c r="AP276" s="1317"/>
      <c r="AQ276" s="1317"/>
      <c r="AR276" s="1317"/>
      <c r="AS276" s="1317"/>
    </row>
    <row r="277" spans="1:45" s="1316" customFormat="1" ht="120" customHeight="1" thickBot="1">
      <c r="A277" s="1308"/>
      <c r="B277" s="2503" t="s">
        <v>861</v>
      </c>
      <c r="C277" s="2504"/>
      <c r="D277" s="2504"/>
      <c r="E277" s="2504"/>
      <c r="F277" s="2504"/>
      <c r="G277" s="2505"/>
      <c r="H277" s="1494" t="e">
        <f>IF(ch_chauffage=TRUE,IF(scop_chaud&gt;=3,"oui","non"))</f>
        <v>#VALUE!</v>
      </c>
      <c r="I277" s="2440"/>
      <c r="J277" s="2440"/>
      <c r="K277" s="2512"/>
      <c r="L277" s="2512"/>
      <c r="M277" s="2513"/>
      <c r="S277" s="1308"/>
      <c r="T277" s="1308"/>
      <c r="U277" s="1324"/>
      <c r="V277" s="1317"/>
      <c r="W277" s="1317"/>
      <c r="X277" s="1317"/>
      <c r="Y277" s="1317"/>
      <c r="Z277" s="1317"/>
      <c r="AA277" s="1317"/>
      <c r="AB277" s="1317"/>
      <c r="AC277" s="1317"/>
      <c r="AD277" s="1317"/>
      <c r="AE277" s="1317"/>
      <c r="AF277" s="1317"/>
      <c r="AG277" s="1317"/>
      <c r="AH277" s="1317"/>
      <c r="AI277" s="1317"/>
      <c r="AJ277" s="1317"/>
      <c r="AK277" s="1317"/>
      <c r="AL277" s="1317"/>
      <c r="AM277" s="1317"/>
      <c r="AN277" s="1317"/>
      <c r="AO277" s="1317"/>
      <c r="AP277" s="1317"/>
      <c r="AQ277" s="1317"/>
      <c r="AR277" s="1317"/>
      <c r="AS277" s="1317"/>
    </row>
    <row r="278" spans="1:45" s="1316" customFormat="1">
      <c r="A278" s="1308"/>
      <c r="B278" s="2497" t="s">
        <v>839</v>
      </c>
      <c r="C278" s="2498"/>
      <c r="D278" s="2498"/>
      <c r="E278" s="2498"/>
      <c r="F278" s="2498"/>
      <c r="G278" s="2499"/>
      <c r="H278" s="1498" t="str">
        <f>IF(duree_eaux&gt;1000,"oui","non")</f>
        <v>non</v>
      </c>
      <c r="I278" s="2500"/>
      <c r="J278" s="2500"/>
      <c r="K278" s="2501" t="s">
        <v>1064</v>
      </c>
      <c r="L278" s="2501"/>
      <c r="M278" s="2502"/>
      <c r="S278" s="1308"/>
      <c r="T278" s="1308"/>
      <c r="U278" s="1324"/>
      <c r="V278" s="1317"/>
      <c r="W278" s="1317"/>
      <c r="X278" s="1317"/>
      <c r="Y278" s="1317"/>
      <c r="Z278" s="1317"/>
      <c r="AA278" s="1317"/>
      <c r="AB278" s="1317"/>
      <c r="AC278" s="1317"/>
      <c r="AD278" s="1317"/>
      <c r="AE278" s="1317"/>
      <c r="AF278" s="1317"/>
      <c r="AG278" s="1317"/>
      <c r="AH278" s="1317"/>
      <c r="AI278" s="1317"/>
      <c r="AJ278" s="1317"/>
      <c r="AK278" s="1317"/>
      <c r="AL278" s="1317"/>
      <c r="AM278" s="1317"/>
      <c r="AN278" s="1317"/>
      <c r="AO278" s="1317"/>
      <c r="AP278" s="1317"/>
      <c r="AQ278" s="1317"/>
      <c r="AR278" s="1317"/>
      <c r="AS278" s="1317"/>
    </row>
    <row r="279" spans="1:45" s="1316" customFormat="1" ht="15.6">
      <c r="A279" s="1308"/>
      <c r="B279" s="2491" t="s">
        <v>843</v>
      </c>
      <c r="C279" s="2492"/>
      <c r="D279" s="2492"/>
      <c r="E279" s="2492"/>
      <c r="F279" s="2492"/>
      <c r="G279" s="2492"/>
      <c r="H279" s="2492"/>
      <c r="I279" s="2492"/>
      <c r="J279" s="2492"/>
      <c r="K279" s="2492"/>
      <c r="L279" s="2492"/>
      <c r="M279" s="2493"/>
      <c r="S279" s="1308"/>
      <c r="T279" s="1308"/>
      <c r="U279" s="1324"/>
      <c r="V279" s="1317"/>
      <c r="W279" s="1317"/>
      <c r="X279" s="1317"/>
      <c r="Y279" s="1317"/>
      <c r="Z279" s="1317"/>
      <c r="AA279" s="1317"/>
      <c r="AB279" s="1317"/>
      <c r="AC279" s="1317"/>
      <c r="AD279" s="1317"/>
      <c r="AE279" s="1317"/>
      <c r="AF279" s="1317"/>
      <c r="AG279" s="1317"/>
      <c r="AH279" s="1317"/>
      <c r="AI279" s="1317"/>
      <c r="AJ279" s="1317"/>
      <c r="AK279" s="1317"/>
      <c r="AL279" s="1317"/>
      <c r="AM279" s="1317"/>
      <c r="AN279" s="1317"/>
      <c r="AO279" s="1317"/>
      <c r="AP279" s="1317"/>
      <c r="AQ279" s="1317"/>
      <c r="AR279" s="1317"/>
      <c r="AS279" s="1317"/>
    </row>
    <row r="280" spans="1:45" s="1316" customFormat="1" ht="84.75" customHeight="1">
      <c r="A280" s="1308"/>
      <c r="B280" s="2509" t="s">
        <v>868</v>
      </c>
      <c r="C280" s="2510"/>
      <c r="D280" s="2510"/>
      <c r="E280" s="2510"/>
      <c r="F280" s="2510"/>
      <c r="G280" s="2511"/>
      <c r="H280" s="1572" t="s">
        <v>867</v>
      </c>
      <c r="I280" s="2525"/>
      <c r="J280" s="2541"/>
      <c r="K280" s="2516"/>
      <c r="L280" s="2517"/>
      <c r="M280" s="2518"/>
      <c r="S280" s="1308"/>
      <c r="T280" s="1409"/>
      <c r="U280" s="1324"/>
      <c r="V280" s="1317"/>
      <c r="W280" s="1317"/>
      <c r="X280" s="1317"/>
      <c r="Y280" s="1317"/>
      <c r="Z280" s="1317"/>
      <c r="AA280" s="1317"/>
      <c r="AB280" s="1317"/>
      <c r="AC280" s="1317"/>
      <c r="AD280" s="1317"/>
      <c r="AE280" s="1317"/>
      <c r="AF280" s="1317"/>
      <c r="AG280" s="1317"/>
      <c r="AH280" s="1317"/>
      <c r="AI280" s="1317"/>
      <c r="AJ280" s="1317"/>
      <c r="AK280" s="1317"/>
      <c r="AL280" s="1317"/>
      <c r="AM280" s="1317"/>
      <c r="AN280" s="1317"/>
      <c r="AO280" s="1317"/>
      <c r="AP280" s="1317"/>
      <c r="AQ280" s="1317"/>
      <c r="AR280" s="1317"/>
      <c r="AS280" s="1317"/>
    </row>
    <row r="281" spans="1:45" s="1316" customFormat="1" ht="37.5" customHeight="1" thickBot="1">
      <c r="A281" s="1308"/>
      <c r="B281" s="2503" t="s">
        <v>871</v>
      </c>
      <c r="C281" s="2504"/>
      <c r="D281" s="2504"/>
      <c r="E281" s="2504"/>
      <c r="F281" s="2504"/>
      <c r="G281" s="2505"/>
      <c r="H281" s="1572" t="str">
        <f>IF(J153&gt;=20,"oui","non")</f>
        <v>non</v>
      </c>
      <c r="I281" s="2542"/>
      <c r="J281" s="2543"/>
      <c r="K281" s="2506" t="s">
        <v>1065</v>
      </c>
      <c r="L281" s="2507"/>
      <c r="M281" s="2508"/>
      <c r="S281" s="1308"/>
      <c r="T281" s="1409"/>
      <c r="U281" s="1324"/>
      <c r="V281" s="1317"/>
      <c r="W281" s="1317"/>
      <c r="X281" s="1317"/>
      <c r="Y281" s="1317"/>
      <c r="Z281" s="1317"/>
      <c r="AA281" s="1317"/>
      <c r="AB281" s="1317"/>
      <c r="AC281" s="1317"/>
      <c r="AD281" s="1317"/>
      <c r="AE281" s="1317"/>
      <c r="AF281" s="1317"/>
      <c r="AG281" s="1317"/>
      <c r="AH281" s="1317"/>
      <c r="AI281" s="1317"/>
      <c r="AJ281" s="1317"/>
      <c r="AK281" s="1317"/>
      <c r="AL281" s="1317"/>
      <c r="AM281" s="1317"/>
      <c r="AN281" s="1317"/>
      <c r="AO281" s="1317"/>
      <c r="AP281" s="1317"/>
      <c r="AQ281" s="1317"/>
      <c r="AR281" s="1317"/>
      <c r="AS281" s="1317"/>
    </row>
    <row r="282" spans="1:45" s="1316" customFormat="1" ht="18" thickBot="1">
      <c r="A282" s="1308"/>
      <c r="B282" s="2528" t="s">
        <v>51</v>
      </c>
      <c r="C282" s="2529"/>
      <c r="D282" s="2529"/>
      <c r="E282" s="2529"/>
      <c r="F282" s="2529"/>
      <c r="G282" s="2529"/>
      <c r="H282" s="2529"/>
      <c r="I282" s="2529"/>
      <c r="J282" s="2529"/>
      <c r="K282" s="2529"/>
      <c r="L282" s="2529"/>
      <c r="M282" s="2530"/>
      <c r="S282" s="1308"/>
      <c r="T282" s="1308"/>
      <c r="U282" s="1324"/>
      <c r="V282" s="1317"/>
      <c r="W282" s="1317"/>
      <c r="X282" s="1317"/>
      <c r="Y282" s="1317"/>
      <c r="Z282" s="1317"/>
      <c r="AA282" s="1317"/>
      <c r="AB282" s="1317"/>
      <c r="AC282" s="1317"/>
      <c r="AD282" s="1317"/>
      <c r="AE282" s="1317"/>
      <c r="AF282" s="1317"/>
      <c r="AG282" s="1317"/>
      <c r="AH282" s="1317"/>
      <c r="AI282" s="1317"/>
      <c r="AJ282" s="1317"/>
      <c r="AK282" s="1317"/>
      <c r="AL282" s="1317"/>
      <c r="AM282" s="1317"/>
      <c r="AN282" s="1317"/>
      <c r="AO282" s="1317"/>
      <c r="AP282" s="1317"/>
      <c r="AQ282" s="1317"/>
      <c r="AR282" s="1317"/>
      <c r="AS282" s="1317"/>
    </row>
    <row r="283" spans="1:45" s="1316" customFormat="1">
      <c r="A283" s="1308"/>
      <c r="B283" s="2519" t="s">
        <v>1134</v>
      </c>
      <c r="C283" s="2520"/>
      <c r="D283" s="2520"/>
      <c r="E283" s="2520"/>
      <c r="F283" s="2520"/>
      <c r="G283" s="2521"/>
      <c r="H283" s="1554" t="e">
        <f>(G158+H158)-(G154+H154)</f>
        <v>#VALUE!</v>
      </c>
      <c r="I283" s="2514" t="s">
        <v>1011</v>
      </c>
      <c r="J283" s="2515"/>
      <c r="K283" s="2537" t="e">
        <f>IF(H283&gt;1000," Ce projet doit être déposé dans AAP","")</f>
        <v>#VALUE!</v>
      </c>
      <c r="L283" s="2537"/>
      <c r="M283" s="2538"/>
      <c r="S283" s="1308"/>
      <c r="T283" s="1308"/>
      <c r="U283" s="1324"/>
      <c r="V283" s="1317"/>
      <c r="W283" s="1317"/>
      <c r="X283" s="1317"/>
      <c r="Y283" s="1317"/>
      <c r="Z283" s="1317"/>
      <c r="AA283" s="1317"/>
      <c r="AB283" s="1317"/>
      <c r="AC283" s="1317"/>
      <c r="AD283" s="1317"/>
      <c r="AE283" s="1317"/>
      <c r="AF283" s="1317"/>
      <c r="AG283" s="1317"/>
      <c r="AH283" s="1317"/>
      <c r="AI283" s="1317"/>
      <c r="AJ283" s="1317"/>
      <c r="AK283" s="1317"/>
      <c r="AL283" s="1317"/>
      <c r="AM283" s="1317"/>
      <c r="AN283" s="1317"/>
      <c r="AO283" s="1317"/>
      <c r="AP283" s="1317"/>
      <c r="AQ283" s="1317"/>
      <c r="AR283" s="1317"/>
      <c r="AS283" s="1317"/>
    </row>
    <row r="284" spans="1:45" s="1316" customFormat="1">
      <c r="A284" s="1308"/>
      <c r="B284" s="2519" t="s">
        <v>1126</v>
      </c>
      <c r="C284" s="2520"/>
      <c r="D284" s="2520"/>
      <c r="E284" s="2520"/>
      <c r="F284" s="2520"/>
      <c r="G284" s="2521"/>
      <c r="H284" s="1554" t="e">
        <f>IF(ch_froidactif=FALSE,0,((F112)*(seer-3.2)/10.6))</f>
        <v>#VALUE!</v>
      </c>
      <c r="I284" s="2514" t="s">
        <v>1011</v>
      </c>
      <c r="J284" s="2515"/>
      <c r="K284" s="1499"/>
      <c r="L284" s="1499"/>
      <c r="M284" s="1500"/>
      <c r="S284" s="1308"/>
      <c r="T284" s="1308"/>
      <c r="U284" s="1324"/>
      <c r="V284" s="1317"/>
      <c r="W284" s="1317"/>
      <c r="X284" s="1317"/>
      <c r="Y284" s="1317"/>
      <c r="Z284" s="1317"/>
      <c r="AA284" s="1317"/>
      <c r="AB284" s="1317"/>
      <c r="AC284" s="1317"/>
      <c r="AD284" s="1317"/>
      <c r="AE284" s="1317"/>
      <c r="AF284" s="1317"/>
      <c r="AG284" s="1317"/>
      <c r="AH284" s="1317"/>
      <c r="AI284" s="1317"/>
      <c r="AJ284" s="1317"/>
      <c r="AK284" s="1317"/>
      <c r="AL284" s="1317"/>
      <c r="AM284" s="1317"/>
      <c r="AN284" s="1317"/>
      <c r="AO284" s="1317"/>
      <c r="AP284" s="1317"/>
      <c r="AQ284" s="1317"/>
      <c r="AR284" s="1317"/>
      <c r="AS284" s="1317"/>
    </row>
    <row r="285" spans="1:45" s="1316" customFormat="1" ht="15" thickBot="1">
      <c r="A285" s="1308"/>
      <c r="B285" s="2519" t="s">
        <v>1133</v>
      </c>
      <c r="C285" s="2520"/>
      <c r="D285" s="2520"/>
      <c r="E285" s="2520"/>
      <c r="F285" s="2520"/>
      <c r="G285" s="2521"/>
      <c r="H285" s="1554">
        <f>IF(J146="oui",G113-J155,0)</f>
        <v>0</v>
      </c>
      <c r="I285" s="2514" t="s">
        <v>1011</v>
      </c>
      <c r="J285" s="2515"/>
      <c r="K285" s="2537" t="str">
        <f>IF(H285&gt;1000," Ce projet doit être déposé dans AAP","")</f>
        <v/>
      </c>
      <c r="L285" s="2537"/>
      <c r="M285" s="2538"/>
      <c r="S285" s="1308"/>
      <c r="T285" s="1308"/>
      <c r="U285" s="1324"/>
      <c r="V285" s="1317"/>
      <c r="W285" s="1317"/>
      <c r="X285" s="1317"/>
      <c r="Y285" s="1317"/>
      <c r="Z285" s="1317"/>
      <c r="AA285" s="1317"/>
      <c r="AB285" s="1317"/>
      <c r="AC285" s="1317"/>
      <c r="AD285" s="1317"/>
      <c r="AE285" s="1317"/>
      <c r="AF285" s="1317"/>
      <c r="AG285" s="1317"/>
      <c r="AH285" s="1317"/>
      <c r="AI285" s="1317"/>
      <c r="AJ285" s="1317"/>
      <c r="AK285" s="1317"/>
      <c r="AL285" s="1317"/>
      <c r="AM285" s="1317"/>
      <c r="AN285" s="1317"/>
      <c r="AO285" s="1317"/>
      <c r="AP285" s="1317"/>
      <c r="AQ285" s="1317"/>
      <c r="AR285" s="1317"/>
      <c r="AS285" s="1317"/>
    </row>
    <row r="286" spans="1:45" s="1316" customFormat="1" ht="18" thickBot="1">
      <c r="A286" s="1308"/>
      <c r="B286" s="2528" t="s">
        <v>858</v>
      </c>
      <c r="C286" s="2529"/>
      <c r="D286" s="2529"/>
      <c r="E286" s="2529"/>
      <c r="F286" s="2529"/>
      <c r="G286" s="2529"/>
      <c r="H286" s="2529"/>
      <c r="I286" s="2529"/>
      <c r="J286" s="2529"/>
      <c r="K286" s="2539"/>
      <c r="L286" s="2539"/>
      <c r="M286" s="2540"/>
      <c r="S286" s="1308"/>
      <c r="T286" s="1308"/>
      <c r="U286" s="1324"/>
      <c r="V286" s="1317"/>
      <c r="W286" s="1317"/>
      <c r="X286" s="1317"/>
      <c r="Y286" s="1317"/>
      <c r="Z286" s="1317"/>
      <c r="AA286" s="1317"/>
      <c r="AB286" s="1317"/>
      <c r="AC286" s="1317"/>
      <c r="AD286" s="1317"/>
      <c r="AE286" s="1317"/>
      <c r="AF286" s="1317"/>
      <c r="AG286" s="1317"/>
      <c r="AH286" s="1317"/>
      <c r="AI286" s="1317"/>
      <c r="AJ286" s="1317"/>
      <c r="AK286" s="1317"/>
      <c r="AL286" s="1317"/>
      <c r="AM286" s="1317"/>
      <c r="AN286" s="1317"/>
      <c r="AO286" s="1317"/>
      <c r="AP286" s="1317"/>
      <c r="AQ286" s="1317"/>
      <c r="AR286" s="1317"/>
      <c r="AS286" s="1317"/>
    </row>
    <row r="287" spans="1:45" s="1316" customFormat="1" ht="32.25" customHeight="1">
      <c r="A287" s="1308"/>
      <c r="B287" s="2776" t="s">
        <v>859</v>
      </c>
      <c r="C287" s="2777"/>
      <c r="D287" s="2777"/>
      <c r="E287" s="2777"/>
      <c r="F287" s="2777"/>
      <c r="G287" s="2777"/>
      <c r="H287" s="2777"/>
      <c r="I287" s="2777"/>
      <c r="J287" s="2777"/>
      <c r="K287" s="2777"/>
      <c r="L287" s="2777"/>
      <c r="M287" s="2778"/>
      <c r="S287" s="1308"/>
      <c r="T287" s="1308"/>
      <c r="U287" s="1324"/>
      <c r="V287" s="1317"/>
      <c r="W287" s="1317"/>
      <c r="X287" s="1317"/>
      <c r="Y287" s="1317"/>
      <c r="Z287" s="1317"/>
      <c r="AA287" s="1317"/>
      <c r="AB287" s="1317"/>
      <c r="AC287" s="1317"/>
      <c r="AD287" s="1317"/>
      <c r="AE287" s="1317"/>
      <c r="AF287" s="1317"/>
      <c r="AG287" s="1317"/>
      <c r="AH287" s="1317"/>
      <c r="AI287" s="1317"/>
      <c r="AJ287" s="1317"/>
      <c r="AK287" s="1317"/>
      <c r="AL287" s="1317"/>
      <c r="AM287" s="1317"/>
      <c r="AN287" s="1317"/>
      <c r="AO287" s="1317"/>
      <c r="AP287" s="1317"/>
      <c r="AQ287" s="1317"/>
      <c r="AR287" s="1317"/>
      <c r="AS287" s="1317"/>
    </row>
    <row r="288" spans="1:45" s="1316" customFormat="1" ht="16.5" hidden="1" customHeight="1">
      <c r="A288" s="1308"/>
      <c r="B288" s="2580" t="s">
        <v>57</v>
      </c>
      <c r="C288" s="2581"/>
      <c r="D288" s="2581"/>
      <c r="E288" s="2581"/>
      <c r="F288" s="2581"/>
      <c r="G288" s="2582"/>
      <c r="H288" s="1404" t="s">
        <v>40</v>
      </c>
      <c r="I288" s="2440"/>
      <c r="J288" s="2525"/>
      <c r="K288" s="2551"/>
      <c r="L288" s="2552"/>
      <c r="M288" s="2553"/>
      <c r="S288" s="1308"/>
      <c r="T288" s="1308"/>
      <c r="U288" s="1324"/>
      <c r="V288" s="1317"/>
      <c r="W288" s="1317"/>
      <c r="X288" s="1317"/>
      <c r="Y288" s="1317"/>
      <c r="Z288" s="1317"/>
      <c r="AA288" s="1317"/>
      <c r="AB288" s="1317"/>
      <c r="AC288" s="1317"/>
      <c r="AD288" s="1317"/>
      <c r="AE288" s="1317"/>
      <c r="AF288" s="1317"/>
      <c r="AG288" s="1317"/>
      <c r="AH288" s="1317"/>
      <c r="AI288" s="1317"/>
      <c r="AJ288" s="1317"/>
      <c r="AK288" s="1317"/>
      <c r="AL288" s="1317"/>
      <c r="AM288" s="1317"/>
      <c r="AN288" s="1317"/>
      <c r="AO288" s="1317"/>
      <c r="AP288" s="1317"/>
      <c r="AQ288" s="1317"/>
      <c r="AR288" s="1317"/>
      <c r="AS288" s="1317"/>
    </row>
    <row r="289" spans="1:45" s="1316" customFormat="1" ht="15.6">
      <c r="A289" s="1308"/>
      <c r="B289" s="1501" t="s">
        <v>1071</v>
      </c>
      <c r="C289" s="1502"/>
      <c r="D289" s="1502"/>
      <c r="E289" s="1502"/>
      <c r="F289" s="1502"/>
      <c r="G289" s="1503"/>
      <c r="H289" s="1572" t="s">
        <v>40</v>
      </c>
      <c r="I289" s="2440"/>
      <c r="J289" s="2525"/>
      <c r="K289" s="2526"/>
      <c r="L289" s="2526"/>
      <c r="M289" s="2526"/>
      <c r="S289" s="1308"/>
      <c r="T289" s="1308"/>
      <c r="U289" s="1324"/>
      <c r="V289" s="1317"/>
      <c r="W289" s="1317"/>
      <c r="X289" s="1317"/>
      <c r="Y289" s="1317"/>
      <c r="Z289" s="1317"/>
      <c r="AA289" s="1317"/>
      <c r="AB289" s="1317"/>
      <c r="AC289" s="1317"/>
      <c r="AD289" s="1317"/>
      <c r="AE289" s="1317"/>
      <c r="AF289" s="1317"/>
      <c r="AG289" s="1317"/>
      <c r="AH289" s="1317"/>
      <c r="AI289" s="1317"/>
      <c r="AJ289" s="1317"/>
      <c r="AK289" s="1317"/>
      <c r="AL289" s="1317"/>
      <c r="AM289" s="1317"/>
      <c r="AN289" s="1317"/>
      <c r="AO289" s="1317"/>
      <c r="AP289" s="1317"/>
      <c r="AQ289" s="1317"/>
      <c r="AR289" s="1317"/>
      <c r="AS289" s="1317"/>
    </row>
    <row r="290" spans="1:45" s="1316" customFormat="1" ht="15.6">
      <c r="A290" s="1308"/>
      <c r="B290" s="1501" t="s">
        <v>1072</v>
      </c>
      <c r="C290" s="1502"/>
      <c r="D290" s="1502"/>
      <c r="E290" s="1502"/>
      <c r="F290" s="1502"/>
      <c r="G290" s="1503"/>
      <c r="H290" s="1572" t="s">
        <v>40</v>
      </c>
      <c r="I290" s="2440"/>
      <c r="J290" s="2525"/>
      <c r="K290" s="2526"/>
      <c r="L290" s="2526"/>
      <c r="M290" s="2526"/>
      <c r="S290" s="1308"/>
      <c r="T290" s="1308"/>
      <c r="U290" s="1324"/>
      <c r="V290" s="1317"/>
      <c r="W290" s="1317"/>
      <c r="X290" s="1317"/>
      <c r="Y290" s="1317"/>
      <c r="Z290" s="1317"/>
      <c r="AA290" s="1317"/>
      <c r="AB290" s="1317"/>
      <c r="AC290" s="1317"/>
      <c r="AD290" s="1317"/>
      <c r="AE290" s="1317"/>
      <c r="AF290" s="1317"/>
      <c r="AG290" s="1317"/>
      <c r="AH290" s="1317"/>
      <c r="AI290" s="1317"/>
      <c r="AJ290" s="1317"/>
      <c r="AK290" s="1317"/>
      <c r="AL290" s="1317"/>
      <c r="AM290" s="1317"/>
      <c r="AN290" s="1317"/>
      <c r="AO290" s="1317"/>
      <c r="AP290" s="1317"/>
      <c r="AQ290" s="1317"/>
      <c r="AR290" s="1317"/>
      <c r="AS290" s="1317"/>
    </row>
    <row r="291" spans="1:45" s="1316" customFormat="1" ht="15.6">
      <c r="A291" s="1308"/>
      <c r="B291" s="2522" t="s">
        <v>1096</v>
      </c>
      <c r="C291" s="2523"/>
      <c r="D291" s="2523"/>
      <c r="E291" s="2523"/>
      <c r="F291" s="2523"/>
      <c r="G291" s="2524"/>
      <c r="H291" s="1572" t="s">
        <v>40</v>
      </c>
      <c r="I291" s="2440"/>
      <c r="J291" s="2525"/>
      <c r="K291" s="2526"/>
      <c r="L291" s="2526"/>
      <c r="M291" s="2526"/>
      <c r="S291" s="1308"/>
      <c r="T291" s="1308"/>
      <c r="U291" s="1324"/>
      <c r="V291" s="1317"/>
      <c r="W291" s="1317"/>
      <c r="X291" s="1317"/>
      <c r="Y291" s="1317"/>
      <c r="Z291" s="1317"/>
      <c r="AA291" s="1317"/>
      <c r="AB291" s="1317"/>
      <c r="AC291" s="1317"/>
      <c r="AD291" s="1317"/>
      <c r="AE291" s="1317"/>
      <c r="AF291" s="1317"/>
      <c r="AG291" s="1317"/>
      <c r="AH291" s="1317"/>
      <c r="AI291" s="1317"/>
      <c r="AJ291" s="1317"/>
      <c r="AK291" s="1317"/>
      <c r="AL291" s="1317"/>
      <c r="AM291" s="1317"/>
      <c r="AN291" s="1317"/>
      <c r="AO291" s="1317"/>
      <c r="AP291" s="1317"/>
      <c r="AQ291" s="1317"/>
      <c r="AR291" s="1317"/>
      <c r="AS291" s="1317"/>
    </row>
    <row r="292" spans="1:45" s="1316" customFormat="1" ht="15.75" customHeight="1">
      <c r="A292" s="1308"/>
      <c r="B292" s="2522" t="s">
        <v>1069</v>
      </c>
      <c r="C292" s="2523"/>
      <c r="D292" s="2523"/>
      <c r="E292" s="2523"/>
      <c r="F292" s="2523"/>
      <c r="G292" s="2524"/>
      <c r="H292" s="1572" t="s">
        <v>40</v>
      </c>
      <c r="I292" s="2440"/>
      <c r="J292" s="2525"/>
      <c r="K292" s="2551"/>
      <c r="L292" s="2552"/>
      <c r="M292" s="2553"/>
      <c r="S292" s="1308"/>
      <c r="T292" s="1308"/>
      <c r="U292" s="1324"/>
      <c r="V292" s="1317"/>
      <c r="W292" s="1317"/>
      <c r="X292" s="1317"/>
      <c r="Y292" s="1317"/>
      <c r="Z292" s="1317"/>
      <c r="AA292" s="1317"/>
      <c r="AB292" s="1317"/>
      <c r="AC292" s="1317"/>
      <c r="AD292" s="1317"/>
      <c r="AE292" s="1317"/>
      <c r="AF292" s="1317"/>
      <c r="AG292" s="1317"/>
      <c r="AH292" s="1317"/>
      <c r="AI292" s="1317"/>
      <c r="AJ292" s="1317"/>
      <c r="AK292" s="1317"/>
      <c r="AL292" s="1317"/>
      <c r="AM292" s="1317"/>
      <c r="AN292" s="1317"/>
      <c r="AO292" s="1317"/>
      <c r="AP292" s="1317"/>
      <c r="AQ292" s="1317"/>
      <c r="AR292" s="1317"/>
      <c r="AS292" s="1317"/>
    </row>
    <row r="293" spans="1:45" s="1316" customFormat="1" ht="15.6">
      <c r="A293" s="1308"/>
      <c r="B293" s="1501" t="s">
        <v>1099</v>
      </c>
      <c r="C293" s="1505"/>
      <c r="D293" s="1505"/>
      <c r="E293" s="1505"/>
      <c r="F293" s="1505"/>
      <c r="G293" s="1506"/>
      <c r="H293" s="1572" t="s">
        <v>40</v>
      </c>
      <c r="I293" s="1489"/>
      <c r="J293" s="1490"/>
      <c r="K293" s="1504"/>
      <c r="L293" s="1504"/>
      <c r="M293" s="1504"/>
      <c r="S293" s="1308"/>
      <c r="T293" s="1308"/>
      <c r="U293" s="1324"/>
      <c r="V293" s="1317"/>
      <c r="W293" s="1317"/>
      <c r="X293" s="1317"/>
      <c r="Y293" s="1317"/>
      <c r="Z293" s="1317"/>
      <c r="AA293" s="1317"/>
      <c r="AB293" s="1317"/>
      <c r="AC293" s="1317"/>
      <c r="AD293" s="1317"/>
      <c r="AE293" s="1317"/>
      <c r="AF293" s="1317"/>
      <c r="AG293" s="1317"/>
      <c r="AH293" s="1317"/>
      <c r="AI293" s="1317"/>
      <c r="AJ293" s="1317"/>
      <c r="AK293" s="1317"/>
      <c r="AL293" s="1317"/>
      <c r="AM293" s="1317"/>
      <c r="AN293" s="1317"/>
      <c r="AO293" s="1317"/>
      <c r="AP293" s="1317"/>
      <c r="AQ293" s="1317"/>
      <c r="AR293" s="1317"/>
      <c r="AS293" s="1317"/>
    </row>
    <row r="294" spans="1:45" s="1316" customFormat="1" ht="15.6">
      <c r="A294" s="1308"/>
      <c r="B294" s="1501" t="s">
        <v>1098</v>
      </c>
      <c r="C294" s="1505"/>
      <c r="D294" s="1505"/>
      <c r="E294" s="1505"/>
      <c r="F294" s="1505"/>
      <c r="G294" s="1506"/>
      <c r="H294" s="1572" t="s">
        <v>41</v>
      </c>
      <c r="I294" s="2440"/>
      <c r="J294" s="2525"/>
      <c r="K294" s="2526"/>
      <c r="L294" s="2526"/>
      <c r="M294" s="2526"/>
      <c r="S294" s="1308"/>
      <c r="T294" s="1308"/>
      <c r="U294" s="1324"/>
      <c r="V294" s="1317"/>
      <c r="W294" s="1317"/>
      <c r="X294" s="1317"/>
      <c r="Y294" s="1317"/>
      <c r="Z294" s="1317"/>
      <c r="AA294" s="1317"/>
      <c r="AB294" s="1317"/>
      <c r="AC294" s="1317"/>
      <c r="AD294" s="1317"/>
      <c r="AE294" s="1317"/>
      <c r="AF294" s="1317"/>
      <c r="AG294" s="1317"/>
      <c r="AH294" s="1317"/>
      <c r="AI294" s="1317"/>
      <c r="AJ294" s="1317"/>
      <c r="AK294" s="1317"/>
      <c r="AL294" s="1317"/>
      <c r="AM294" s="1317"/>
      <c r="AN294" s="1317"/>
      <c r="AO294" s="1317"/>
      <c r="AP294" s="1317"/>
      <c r="AQ294" s="1317"/>
      <c r="AR294" s="1317"/>
      <c r="AS294" s="1317"/>
    </row>
    <row r="295" spans="1:45" s="1316" customFormat="1" ht="16.2" thickBot="1">
      <c r="A295" s="1308"/>
      <c r="B295" s="2583" t="s">
        <v>879</v>
      </c>
      <c r="C295" s="2584"/>
      <c r="D295" s="2584"/>
      <c r="E295" s="2584"/>
      <c r="F295" s="2584"/>
      <c r="G295" s="2585"/>
      <c r="H295" s="1572" t="s">
        <v>41</v>
      </c>
      <c r="I295" s="2440"/>
      <c r="J295" s="2440"/>
      <c r="K295" s="2547"/>
      <c r="L295" s="2547"/>
      <c r="M295" s="2548"/>
      <c r="S295" s="1308"/>
      <c r="T295" s="1308"/>
      <c r="U295" s="1324"/>
      <c r="V295" s="1317"/>
      <c r="W295" s="1317"/>
      <c r="X295" s="1317"/>
      <c r="Y295" s="1317"/>
      <c r="Z295" s="1317"/>
      <c r="AA295" s="1317"/>
      <c r="AB295" s="1317"/>
      <c r="AC295" s="1317"/>
      <c r="AD295" s="1317"/>
      <c r="AE295" s="1317"/>
      <c r="AF295" s="1317"/>
      <c r="AG295" s="1317"/>
      <c r="AH295" s="1317"/>
      <c r="AI295" s="1317"/>
      <c r="AJ295" s="1317"/>
      <c r="AK295" s="1317"/>
      <c r="AL295" s="1317"/>
      <c r="AM295" s="1317"/>
      <c r="AN295" s="1317"/>
      <c r="AO295" s="1317"/>
      <c r="AP295" s="1317"/>
      <c r="AQ295" s="1317"/>
      <c r="AR295" s="1317"/>
      <c r="AS295" s="1317"/>
    </row>
    <row r="296" spans="1:45" s="1316" customFormat="1" ht="18" thickBot="1">
      <c r="A296" s="1308"/>
      <c r="B296" s="2528" t="s">
        <v>856</v>
      </c>
      <c r="C296" s="2529"/>
      <c r="D296" s="2529"/>
      <c r="E296" s="2529"/>
      <c r="F296" s="2529"/>
      <c r="G296" s="2529"/>
      <c r="H296" s="2529"/>
      <c r="I296" s="2529"/>
      <c r="J296" s="2529"/>
      <c r="K296" s="2529"/>
      <c r="L296" s="2529"/>
      <c r="M296" s="2530"/>
      <c r="S296" s="1308"/>
      <c r="T296" s="1308"/>
      <c r="U296" s="1324"/>
      <c r="V296" s="1317"/>
      <c r="W296" s="1317"/>
      <c r="X296" s="1317"/>
      <c r="Y296" s="1317"/>
      <c r="Z296" s="1317"/>
      <c r="AA296" s="1317"/>
      <c r="AB296" s="1317"/>
      <c r="AC296" s="1317"/>
      <c r="AD296" s="1317"/>
      <c r="AE296" s="1317"/>
      <c r="AF296" s="1317"/>
      <c r="AG296" s="1317"/>
      <c r="AH296" s="1317"/>
      <c r="AI296" s="1317"/>
      <c r="AJ296" s="1317"/>
      <c r="AK296" s="1317"/>
      <c r="AL296" s="1317"/>
      <c r="AM296" s="1317"/>
      <c r="AN296" s="1317"/>
      <c r="AO296" s="1317"/>
      <c r="AP296" s="1317"/>
      <c r="AQ296" s="1317"/>
      <c r="AR296" s="1317"/>
      <c r="AS296" s="1317"/>
    </row>
    <row r="297" spans="1:45" s="1316" customFormat="1" ht="15.6">
      <c r="A297" s="1308"/>
      <c r="B297" s="2531" t="s">
        <v>885</v>
      </c>
      <c r="C297" s="2532"/>
      <c r="D297" s="2532"/>
      <c r="E297" s="2532"/>
      <c r="F297" s="2532"/>
      <c r="G297" s="2533"/>
      <c r="H297" s="1572" t="s">
        <v>1103</v>
      </c>
      <c r="I297" s="2549" t="s">
        <v>1119</v>
      </c>
      <c r="J297" s="2550"/>
      <c r="K297" s="2534"/>
      <c r="L297" s="2535"/>
      <c r="M297" s="2536"/>
      <c r="S297" s="1308"/>
      <c r="T297" s="1308"/>
      <c r="U297" s="1324"/>
      <c r="V297" s="1317"/>
      <c r="W297" s="1317"/>
      <c r="X297" s="1317"/>
      <c r="Y297" s="1317"/>
      <c r="Z297" s="1317"/>
      <c r="AA297" s="1317"/>
      <c r="AB297" s="1317"/>
      <c r="AC297" s="1317"/>
      <c r="AD297" s="1317"/>
      <c r="AE297" s="1317"/>
      <c r="AF297" s="1317"/>
      <c r="AG297" s="1317"/>
      <c r="AH297" s="1317"/>
      <c r="AI297" s="1317"/>
      <c r="AJ297" s="1317"/>
      <c r="AK297" s="1317"/>
      <c r="AL297" s="1317"/>
      <c r="AM297" s="1317"/>
      <c r="AN297" s="1317"/>
      <c r="AO297" s="1317"/>
      <c r="AP297" s="1317"/>
      <c r="AQ297" s="1317"/>
      <c r="AR297" s="1317"/>
      <c r="AS297" s="1317"/>
    </row>
    <row r="298" spans="1:45" s="1316" customFormat="1" ht="60.75" customHeight="1">
      <c r="A298" s="1308"/>
      <c r="B298" s="2531" t="s">
        <v>857</v>
      </c>
      <c r="C298" s="2532"/>
      <c r="D298" s="2532"/>
      <c r="E298" s="2532"/>
      <c r="F298" s="2532"/>
      <c r="G298" s="2533"/>
      <c r="H298" s="1572" t="str">
        <f>B87</f>
        <v>oui</v>
      </c>
      <c r="I298" s="2435"/>
      <c r="J298" s="2436"/>
      <c r="K298" s="2415" t="s">
        <v>1062</v>
      </c>
      <c r="L298" s="2416"/>
      <c r="M298" s="2417"/>
      <c r="S298" s="1308"/>
      <c r="T298" s="1308"/>
      <c r="U298" s="1324"/>
      <c r="V298" s="1317"/>
      <c r="W298" s="1317"/>
      <c r="X298" s="1317"/>
      <c r="Y298" s="1317"/>
      <c r="Z298" s="1317"/>
      <c r="AA298" s="1317"/>
      <c r="AB298" s="1317"/>
      <c r="AC298" s="1317"/>
      <c r="AD298" s="1317"/>
      <c r="AE298" s="1317"/>
      <c r="AF298" s="1317"/>
      <c r="AG298" s="1317"/>
      <c r="AH298" s="1317"/>
      <c r="AI298" s="1317"/>
      <c r="AJ298" s="1317"/>
      <c r="AK298" s="1317"/>
      <c r="AL298" s="1317"/>
      <c r="AM298" s="1317"/>
      <c r="AN298" s="1317"/>
      <c r="AO298" s="1317"/>
      <c r="AP298" s="1317"/>
      <c r="AQ298" s="1317"/>
      <c r="AR298" s="1317"/>
      <c r="AS298" s="1317"/>
    </row>
    <row r="299" spans="1:45" s="1316" customFormat="1">
      <c r="A299" s="1308"/>
      <c r="B299" s="1507"/>
      <c r="C299" s="1507"/>
      <c r="D299" s="1507"/>
      <c r="E299" s="1507"/>
      <c r="F299" s="1507"/>
      <c r="G299" s="1507"/>
      <c r="H299" s="1379"/>
      <c r="I299" s="1379"/>
      <c r="J299" s="1379"/>
      <c r="K299" s="1379"/>
      <c r="L299" s="1308"/>
      <c r="M299" s="1308"/>
      <c r="S299" s="1308"/>
      <c r="T299" s="1308"/>
      <c r="U299" s="1324"/>
      <c r="V299" s="1317"/>
      <c r="W299" s="1317"/>
      <c r="X299" s="1317"/>
      <c r="Y299" s="1317"/>
      <c r="Z299" s="1317"/>
      <c r="AA299" s="1317"/>
      <c r="AB299" s="1317"/>
      <c r="AC299" s="1317"/>
      <c r="AD299" s="1317"/>
      <c r="AE299" s="1317"/>
      <c r="AF299" s="1317"/>
      <c r="AG299" s="1317"/>
      <c r="AH299" s="1317"/>
      <c r="AI299" s="1317"/>
      <c r="AJ299" s="1317"/>
      <c r="AK299" s="1317"/>
      <c r="AL299" s="1317"/>
      <c r="AM299" s="1317"/>
      <c r="AN299" s="1317"/>
      <c r="AO299" s="1317"/>
      <c r="AP299" s="1317"/>
      <c r="AQ299" s="1317"/>
      <c r="AR299" s="1317"/>
      <c r="AS299" s="1317"/>
    </row>
    <row r="300" spans="1:45" s="1316" customFormat="1" ht="15" thickBot="1">
      <c r="A300" s="1308"/>
      <c r="B300" s="1507"/>
      <c r="C300" s="1507"/>
      <c r="D300" s="1507"/>
      <c r="E300" s="1507"/>
      <c r="F300" s="1507"/>
      <c r="G300" s="1507"/>
      <c r="H300" s="1379"/>
      <c r="I300" s="1379"/>
      <c r="J300" s="1379"/>
      <c r="K300" s="1379"/>
      <c r="L300" s="1308"/>
      <c r="M300" s="1308"/>
      <c r="S300" s="1308"/>
      <c r="T300" s="1308"/>
      <c r="U300" s="1324"/>
      <c r="V300" s="1317"/>
      <c r="W300" s="1317"/>
      <c r="X300" s="1317"/>
      <c r="Y300" s="1317"/>
      <c r="Z300" s="1317"/>
      <c r="AA300" s="1317"/>
      <c r="AB300" s="1317"/>
      <c r="AC300" s="1317"/>
      <c r="AD300" s="1317"/>
      <c r="AE300" s="1317"/>
      <c r="AF300" s="1317"/>
      <c r="AG300" s="1317"/>
      <c r="AH300" s="1317"/>
      <c r="AI300" s="1317"/>
      <c r="AJ300" s="1317"/>
      <c r="AK300" s="1317"/>
      <c r="AL300" s="1317"/>
      <c r="AM300" s="1317"/>
      <c r="AN300" s="1317"/>
      <c r="AO300" s="1317"/>
      <c r="AP300" s="1317"/>
      <c r="AQ300" s="1317"/>
      <c r="AR300" s="1317"/>
      <c r="AS300" s="1317"/>
    </row>
    <row r="301" spans="1:45" s="1316" customFormat="1" ht="18.600000000000001" thickBot="1">
      <c r="A301" s="1308"/>
      <c r="B301" s="2577" t="s">
        <v>1221</v>
      </c>
      <c r="C301" s="2578"/>
      <c r="D301" s="2578"/>
      <c r="E301" s="2578"/>
      <c r="F301" s="2578"/>
      <c r="G301" s="2578"/>
      <c r="H301" s="2578"/>
      <c r="I301" s="2578"/>
      <c r="J301" s="2578"/>
      <c r="K301" s="2578"/>
      <c r="L301" s="2578"/>
      <c r="M301" s="2579"/>
      <c r="S301" s="1308"/>
      <c r="T301" s="1308"/>
      <c r="U301" s="1324"/>
      <c r="V301" s="1317"/>
      <c r="W301" s="1317"/>
      <c r="X301" s="1317"/>
      <c r="Y301" s="1317"/>
      <c r="Z301" s="1317"/>
      <c r="AA301" s="1317"/>
      <c r="AB301" s="1317"/>
      <c r="AC301" s="1317"/>
      <c r="AD301" s="1317"/>
      <c r="AE301" s="1317"/>
      <c r="AF301" s="1317"/>
      <c r="AG301" s="1317"/>
      <c r="AH301" s="1317"/>
      <c r="AI301" s="1317"/>
      <c r="AJ301" s="1317"/>
      <c r="AK301" s="1317"/>
      <c r="AL301" s="1317"/>
      <c r="AM301" s="1317"/>
      <c r="AN301" s="1317"/>
      <c r="AO301" s="1317"/>
      <c r="AP301" s="1317"/>
      <c r="AQ301" s="1317"/>
      <c r="AR301" s="1317"/>
      <c r="AS301" s="1317"/>
    </row>
    <row r="302" spans="1:45" s="1316" customFormat="1" ht="18">
      <c r="A302" s="1308"/>
      <c r="B302" s="1599"/>
      <c r="C302" s="1600"/>
      <c r="D302" s="1600"/>
      <c r="E302" s="1600"/>
      <c r="F302" s="1600"/>
      <c r="G302" s="1705" t="s">
        <v>1190</v>
      </c>
      <c r="H302" s="1705" t="s">
        <v>1191</v>
      </c>
      <c r="I302" s="1705" t="s">
        <v>1192</v>
      </c>
      <c r="J302" s="1600"/>
      <c r="K302" s="1600"/>
      <c r="L302" s="1600"/>
      <c r="M302" s="1601"/>
      <c r="S302" s="1308"/>
      <c r="T302" s="1308"/>
      <c r="U302" s="1324"/>
      <c r="V302" s="1317"/>
      <c r="W302" s="1317"/>
      <c r="X302" s="1317"/>
      <c r="Y302" s="1317"/>
      <c r="Z302" s="1317"/>
      <c r="AA302" s="1317"/>
      <c r="AB302" s="1317"/>
      <c r="AC302" s="1317"/>
      <c r="AD302" s="1317"/>
      <c r="AE302" s="1317"/>
      <c r="AF302" s="1317"/>
      <c r="AG302" s="1317"/>
      <c r="AH302" s="1317"/>
      <c r="AI302" s="1317"/>
      <c r="AJ302" s="1317"/>
      <c r="AK302" s="1317"/>
      <c r="AL302" s="1317"/>
      <c r="AM302" s="1317"/>
      <c r="AN302" s="1317"/>
      <c r="AO302" s="1317"/>
      <c r="AP302" s="1317"/>
      <c r="AQ302" s="1317"/>
      <c r="AR302" s="1317"/>
      <c r="AS302" s="1317"/>
    </row>
    <row r="303" spans="1:45" s="1316" customFormat="1">
      <c r="A303" s="1308"/>
      <c r="B303" s="2588" t="s">
        <v>1193</v>
      </c>
      <c r="C303" s="2589"/>
      <c r="D303" s="2589"/>
      <c r="E303" s="2589"/>
      <c r="F303" s="2589"/>
      <c r="G303" s="1706"/>
      <c r="H303" s="1707"/>
      <c r="I303" s="1707"/>
      <c r="J303" s="1602"/>
      <c r="K303" s="1602"/>
      <c r="L303" s="2586" t="s">
        <v>159</v>
      </c>
      <c r="M303" s="2587"/>
      <c r="S303" s="1308"/>
      <c r="T303" s="1308"/>
      <c r="U303" s="1324"/>
      <c r="V303" s="1317"/>
      <c r="W303" s="1317"/>
      <c r="X303" s="1317"/>
      <c r="Y303" s="1317"/>
      <c r="Z303" s="1317"/>
      <c r="AA303" s="1317"/>
      <c r="AB303" s="1317"/>
      <c r="AC303" s="1317"/>
      <c r="AD303" s="1317"/>
      <c r="AE303" s="1317"/>
      <c r="AF303" s="1317"/>
      <c r="AG303" s="1317"/>
      <c r="AH303" s="1317"/>
      <c r="AI303" s="1317"/>
      <c r="AJ303" s="1317"/>
      <c r="AK303" s="1317"/>
      <c r="AL303" s="1317"/>
      <c r="AM303" s="1317"/>
      <c r="AN303" s="1317"/>
      <c r="AO303" s="1317"/>
      <c r="AP303" s="1317"/>
      <c r="AQ303" s="1317"/>
      <c r="AR303" s="1317"/>
      <c r="AS303" s="1317"/>
    </row>
    <row r="304" spans="1:45" s="1316" customFormat="1">
      <c r="A304" s="1308"/>
      <c r="B304" s="2773" t="s">
        <v>1194</v>
      </c>
      <c r="C304" s="2774"/>
      <c r="D304" s="2774"/>
      <c r="E304" s="2774"/>
      <c r="F304" s="2775"/>
      <c r="G304" s="1708" t="s">
        <v>1195</v>
      </c>
      <c r="H304" s="1707"/>
      <c r="I304" s="1707"/>
      <c r="J304" s="1602"/>
      <c r="K304" s="1602"/>
      <c r="L304" s="2586" t="s">
        <v>159</v>
      </c>
      <c r="M304" s="2587"/>
      <c r="S304" s="1308"/>
      <c r="T304" s="1308"/>
      <c r="U304" s="1324"/>
      <c r="V304" s="1317"/>
      <c r="W304" s="1317"/>
      <c r="X304" s="1317"/>
      <c r="Y304" s="1317"/>
      <c r="Z304" s="1317"/>
      <c r="AA304" s="1317"/>
      <c r="AB304" s="1317"/>
      <c r="AC304" s="1317"/>
      <c r="AD304" s="1317"/>
      <c r="AE304" s="1317"/>
      <c r="AF304" s="1317"/>
      <c r="AG304" s="1317"/>
      <c r="AH304" s="1317"/>
      <c r="AI304" s="1317"/>
      <c r="AJ304" s="1317"/>
      <c r="AK304" s="1317"/>
      <c r="AL304" s="1317"/>
      <c r="AM304" s="1317"/>
      <c r="AN304" s="1317"/>
      <c r="AO304" s="1317"/>
      <c r="AP304" s="1317"/>
      <c r="AQ304" s="1317"/>
      <c r="AR304" s="1317"/>
      <c r="AS304" s="1317"/>
    </row>
    <row r="305" spans="1:45" s="1316" customFormat="1">
      <c r="A305" s="1308"/>
      <c r="B305" s="2588" t="s">
        <v>1196</v>
      </c>
      <c r="C305" s="2589"/>
      <c r="D305" s="2589"/>
      <c r="E305" s="2589"/>
      <c r="F305" s="2589"/>
      <c r="G305" s="1709" t="s">
        <v>1011</v>
      </c>
      <c r="H305" s="1710"/>
      <c r="I305" s="1710"/>
      <c r="J305" s="1602"/>
      <c r="K305" s="1602"/>
      <c r="L305" s="2586" t="s">
        <v>159</v>
      </c>
      <c r="M305" s="2587"/>
      <c r="S305" s="1308"/>
      <c r="T305" s="1308"/>
      <c r="U305" s="1324"/>
      <c r="V305" s="1317"/>
      <c r="W305" s="1317"/>
      <c r="X305" s="1317"/>
      <c r="Y305" s="1317"/>
      <c r="Z305" s="1317"/>
      <c r="AA305" s="1317"/>
      <c r="AB305" s="1317"/>
      <c r="AC305" s="1317"/>
      <c r="AD305" s="1317"/>
      <c r="AE305" s="1317"/>
      <c r="AF305" s="1317"/>
      <c r="AG305" s="1317"/>
      <c r="AH305" s="1317"/>
      <c r="AI305" s="1317"/>
      <c r="AJ305" s="1317"/>
      <c r="AK305" s="1317"/>
      <c r="AL305" s="1317"/>
      <c r="AM305" s="1317"/>
      <c r="AN305" s="1317"/>
      <c r="AO305" s="1317"/>
      <c r="AP305" s="1317"/>
      <c r="AQ305" s="1317"/>
      <c r="AR305" s="1317"/>
      <c r="AS305" s="1317"/>
    </row>
    <row r="306" spans="1:45" s="1316" customFormat="1">
      <c r="A306" s="1308"/>
      <c r="B306" s="2588" t="s">
        <v>1197</v>
      </c>
      <c r="C306" s="2589"/>
      <c r="D306" s="2589"/>
      <c r="E306" s="2589"/>
      <c r="F306" s="2589"/>
      <c r="G306" s="1711" t="s">
        <v>1011</v>
      </c>
      <c r="H306" s="1712"/>
      <c r="I306" s="1712"/>
      <c r="J306" s="1602"/>
      <c r="K306" s="1602"/>
      <c r="L306" s="2586" t="s">
        <v>159</v>
      </c>
      <c r="M306" s="2587"/>
      <c r="S306" s="1308"/>
      <c r="T306" s="1308"/>
      <c r="U306" s="1324"/>
      <c r="V306" s="1317"/>
      <c r="W306" s="1317"/>
      <c r="X306" s="1317"/>
      <c r="Y306" s="1317"/>
      <c r="Z306" s="1317"/>
      <c r="AA306" s="1317"/>
      <c r="AB306" s="1317"/>
      <c r="AC306" s="1317"/>
      <c r="AD306" s="1317"/>
      <c r="AE306" s="1317"/>
      <c r="AF306" s="1317"/>
      <c r="AG306" s="1317"/>
      <c r="AH306" s="1317"/>
      <c r="AI306" s="1317"/>
      <c r="AJ306" s="1317"/>
      <c r="AK306" s="1317"/>
      <c r="AL306" s="1317"/>
      <c r="AM306" s="1317"/>
      <c r="AN306" s="1317"/>
      <c r="AO306" s="1317"/>
      <c r="AP306" s="1317"/>
      <c r="AQ306" s="1317"/>
      <c r="AR306" s="1317"/>
      <c r="AS306" s="1317"/>
    </row>
    <row r="307" spans="1:45" s="1316" customFormat="1">
      <c r="A307" s="1308"/>
      <c r="B307" s="2588" t="s">
        <v>1198</v>
      </c>
      <c r="C307" s="2589"/>
      <c r="D307" s="2589"/>
      <c r="E307" s="2589"/>
      <c r="F307" s="2589"/>
      <c r="G307" s="1713" t="s">
        <v>1011</v>
      </c>
      <c r="H307" s="1714" t="str">
        <f>IF(G307=G159,"","Vérifier la cohérence avec les données de la chaufferie §3")</f>
        <v>Vérifier la cohérence avec les données de la chaufferie §3</v>
      </c>
      <c r="I307" s="1715"/>
      <c r="J307" s="1604"/>
      <c r="K307" s="1602"/>
      <c r="L307" s="2586" t="s">
        <v>159</v>
      </c>
      <c r="M307" s="2587"/>
      <c r="S307" s="1308"/>
      <c r="T307" s="1308"/>
      <c r="U307" s="1324"/>
      <c r="V307" s="1317"/>
      <c r="W307" s="1317"/>
      <c r="X307" s="1317"/>
      <c r="Y307" s="1317"/>
      <c r="Z307" s="1317"/>
      <c r="AA307" s="1317"/>
      <c r="AB307" s="1317"/>
      <c r="AC307" s="1317"/>
      <c r="AD307" s="1317"/>
      <c r="AE307" s="1317"/>
      <c r="AF307" s="1317"/>
      <c r="AG307" s="1317"/>
      <c r="AH307" s="1317"/>
      <c r="AI307" s="1317"/>
      <c r="AJ307" s="1317"/>
      <c r="AK307" s="1317"/>
      <c r="AL307" s="1317"/>
      <c r="AM307" s="1317"/>
      <c r="AN307" s="1317"/>
      <c r="AO307" s="1317"/>
      <c r="AP307" s="1317"/>
      <c r="AQ307" s="1317"/>
      <c r="AR307" s="1317"/>
      <c r="AS307" s="1317"/>
    </row>
    <row r="308" spans="1:45" s="1316" customFormat="1">
      <c r="A308" s="1308"/>
      <c r="B308" s="2588" t="s">
        <v>1199</v>
      </c>
      <c r="C308" s="2589"/>
      <c r="D308" s="2589"/>
      <c r="E308" s="2589"/>
      <c r="F308" s="2589"/>
      <c r="G308" s="1716" t="str">
        <f>IFERROR(G307/G306,"")</f>
        <v/>
      </c>
      <c r="H308" s="1716" t="str">
        <f>IFERROR(#REF!/H306,"")</f>
        <v/>
      </c>
      <c r="I308" s="1717" t="str">
        <f>IFERROR(I307/I306,G308)</f>
        <v/>
      </c>
      <c r="J308" s="1602" t="str">
        <f>IF(I308&lt;0.65,"Taux de couverture EnR&amp;R trop faible","")</f>
        <v/>
      </c>
      <c r="K308" s="1602"/>
      <c r="L308" s="2586" t="s">
        <v>159</v>
      </c>
      <c r="M308" s="2587"/>
      <c r="S308" s="1308"/>
      <c r="T308" s="1308"/>
      <c r="U308" s="1324"/>
      <c r="V308" s="1317"/>
      <c r="W308" s="1317"/>
      <c r="X308" s="1317"/>
      <c r="Y308" s="1317"/>
      <c r="Z308" s="1317"/>
      <c r="AA308" s="1317"/>
      <c r="AB308" s="1317"/>
      <c r="AC308" s="1317"/>
      <c r="AD308" s="1317"/>
      <c r="AE308" s="1317"/>
      <c r="AF308" s="1317"/>
      <c r="AG308" s="1317"/>
      <c r="AH308" s="1317"/>
      <c r="AI308" s="1317"/>
      <c r="AJ308" s="1317"/>
      <c r="AK308" s="1317"/>
      <c r="AL308" s="1317"/>
      <c r="AM308" s="1317"/>
      <c r="AN308" s="1317"/>
      <c r="AO308" s="1317"/>
      <c r="AP308" s="1317"/>
      <c r="AQ308" s="1317"/>
      <c r="AR308" s="1317"/>
      <c r="AS308" s="1317"/>
    </row>
    <row r="309" spans="1:45" s="1316" customFormat="1">
      <c r="A309" s="1308"/>
      <c r="B309" s="2588" t="s">
        <v>1200</v>
      </c>
      <c r="C309" s="2589"/>
      <c r="D309" s="2589"/>
      <c r="E309" s="2589"/>
      <c r="F309" s="2589"/>
      <c r="G309" s="1711" t="s">
        <v>1011</v>
      </c>
      <c r="H309" s="1712"/>
      <c r="I309" s="1712"/>
      <c r="J309" s="1603" t="str">
        <f>IF(G309=G242,"","Vérifier la cohérence avec les données de la chaufferie §3")</f>
        <v>Vérifier la cohérence avec les données de la chaufferie §3</v>
      </c>
      <c r="K309" s="1602"/>
      <c r="L309" s="2586" t="s">
        <v>159</v>
      </c>
      <c r="M309" s="2587"/>
      <c r="S309" s="1308"/>
      <c r="T309" s="1308"/>
      <c r="U309" s="1324"/>
      <c r="V309" s="1317"/>
      <c r="W309" s="1317"/>
      <c r="X309" s="1317"/>
      <c r="Y309" s="1317"/>
      <c r="Z309" s="1317"/>
      <c r="AA309" s="1317"/>
      <c r="AB309" s="1317"/>
      <c r="AC309" s="1317"/>
      <c r="AD309" s="1317"/>
      <c r="AE309" s="1317"/>
      <c r="AF309" s="1317"/>
      <c r="AG309" s="1317"/>
      <c r="AH309" s="1317"/>
      <c r="AI309" s="1317"/>
      <c r="AJ309" s="1317"/>
      <c r="AK309" s="1317"/>
      <c r="AL309" s="1317"/>
      <c r="AM309" s="1317"/>
      <c r="AN309" s="1317"/>
      <c r="AO309" s="1317"/>
      <c r="AP309" s="1317"/>
      <c r="AQ309" s="1317"/>
      <c r="AR309" s="1317"/>
      <c r="AS309" s="1317"/>
    </row>
    <row r="310" spans="1:45" s="1316" customFormat="1">
      <c r="A310" s="1308"/>
      <c r="B310" s="2588" t="s">
        <v>1201</v>
      </c>
      <c r="C310" s="2589"/>
      <c r="D310" s="2589"/>
      <c r="E310" s="2589"/>
      <c r="F310" s="2589"/>
      <c r="G310" s="1713"/>
      <c r="H310" s="1715"/>
      <c r="I310" s="1715"/>
      <c r="J310" s="1602"/>
      <c r="K310" s="1602"/>
      <c r="L310" s="2586" t="s">
        <v>159</v>
      </c>
      <c r="M310" s="2587"/>
      <c r="S310" s="1308"/>
      <c r="T310" s="1308"/>
      <c r="U310" s="1324"/>
      <c r="V310" s="1317"/>
      <c r="W310" s="1317"/>
      <c r="X310" s="1317"/>
      <c r="Y310" s="1317"/>
      <c r="Z310" s="1317"/>
      <c r="AA310" s="1317"/>
      <c r="AB310" s="1317"/>
      <c r="AC310" s="1317"/>
      <c r="AD310" s="1317"/>
      <c r="AE310" s="1317"/>
      <c r="AF310" s="1317"/>
      <c r="AG310" s="1317"/>
      <c r="AH310" s="1317"/>
      <c r="AI310" s="1317"/>
      <c r="AJ310" s="1317"/>
      <c r="AK310" s="1317"/>
      <c r="AL310" s="1317"/>
      <c r="AM310" s="1317"/>
      <c r="AN310" s="1317"/>
      <c r="AO310" s="1317"/>
      <c r="AP310" s="1317"/>
      <c r="AQ310" s="1317"/>
      <c r="AR310" s="1317"/>
      <c r="AS310" s="1317"/>
    </row>
    <row r="311" spans="1:45" s="1316" customFormat="1">
      <c r="A311" s="1308"/>
      <c r="B311" s="2588" t="s">
        <v>1202</v>
      </c>
      <c r="C311" s="2589"/>
      <c r="D311" s="2589"/>
      <c r="E311" s="2589"/>
      <c r="F311" s="2589"/>
      <c r="G311" s="1718"/>
      <c r="H311" s="1719"/>
      <c r="I311" s="1719"/>
      <c r="J311" s="1602"/>
      <c r="K311" s="1602"/>
      <c r="L311" s="2586" t="s">
        <v>159</v>
      </c>
      <c r="M311" s="2587"/>
      <c r="S311" s="1308"/>
      <c r="T311" s="1308"/>
      <c r="U311" s="1324"/>
      <c r="V311" s="1317"/>
      <c r="W311" s="1317"/>
      <c r="X311" s="1317"/>
      <c r="Y311" s="1317"/>
      <c r="Z311" s="1317"/>
      <c r="AA311" s="1317"/>
      <c r="AB311" s="1317"/>
      <c r="AC311" s="1317"/>
      <c r="AD311" s="1317"/>
      <c r="AE311" s="1317"/>
      <c r="AF311" s="1317"/>
      <c r="AG311" s="1317"/>
      <c r="AH311" s="1317"/>
      <c r="AI311" s="1317"/>
      <c r="AJ311" s="1317"/>
      <c r="AK311" s="1317"/>
      <c r="AL311" s="1317"/>
      <c r="AM311" s="1317"/>
      <c r="AN311" s="1317"/>
      <c r="AO311" s="1317"/>
      <c r="AP311" s="1317"/>
      <c r="AQ311" s="1317"/>
      <c r="AR311" s="1317"/>
      <c r="AS311" s="1317"/>
    </row>
    <row r="312" spans="1:45" s="1316" customFormat="1">
      <c r="A312" s="1308"/>
      <c r="B312" s="2588" t="s">
        <v>1203</v>
      </c>
      <c r="C312" s="2589"/>
      <c r="D312" s="2589"/>
      <c r="E312" s="2589"/>
      <c r="F312" s="2589"/>
      <c r="G312" s="1720"/>
      <c r="H312" s="1721"/>
      <c r="I312" s="1721"/>
      <c r="J312" s="1603" t="str">
        <f>IF(G312=F219,"","Vérifier la cohérence avec les données de la chaufferie §3")</f>
        <v>Vérifier la cohérence avec les données de la chaufferie §3</v>
      </c>
      <c r="K312" s="1602"/>
      <c r="L312" s="2586" t="s">
        <v>159</v>
      </c>
      <c r="M312" s="2587"/>
      <c r="S312" s="1308"/>
      <c r="T312" s="1308"/>
      <c r="U312" s="1324"/>
      <c r="V312" s="1317"/>
      <c r="W312" s="1317"/>
      <c r="X312" s="1317"/>
      <c r="Y312" s="1317"/>
      <c r="Z312" s="1317"/>
      <c r="AA312" s="1317"/>
      <c r="AB312" s="1317"/>
      <c r="AC312" s="1317"/>
      <c r="AD312" s="1317"/>
      <c r="AE312" s="1317"/>
      <c r="AF312" s="1317"/>
      <c r="AG312" s="1317"/>
      <c r="AH312" s="1317"/>
      <c r="AI312" s="1317"/>
      <c r="AJ312" s="1317"/>
      <c r="AK312" s="1317"/>
      <c r="AL312" s="1317"/>
      <c r="AM312" s="1317"/>
      <c r="AN312" s="1317"/>
      <c r="AO312" s="1317"/>
      <c r="AP312" s="1317"/>
      <c r="AQ312" s="1317"/>
      <c r="AR312" s="1317"/>
      <c r="AS312" s="1317"/>
    </row>
    <row r="313" spans="1:45" s="1316" customFormat="1">
      <c r="A313" s="1308"/>
      <c r="B313" s="2588" t="s">
        <v>1204</v>
      </c>
      <c r="C313" s="2589"/>
      <c r="D313" s="2589"/>
      <c r="E313" s="2589"/>
      <c r="F313" s="2589"/>
      <c r="G313" s="1722" t="str">
        <f>IFERROR(G309/G305,"")</f>
        <v/>
      </c>
      <c r="H313" s="1723" t="str">
        <f>IFERROR(H309/H305,"")</f>
        <v/>
      </c>
      <c r="I313" s="1723" t="str">
        <f>IFERROR(I309/I305,"")</f>
        <v/>
      </c>
      <c r="J313" s="1602" t="str">
        <f>IF(G313&lt;1,"Densité trop faible",IF(I313&lt;1,"Densité trop faible",""))</f>
        <v/>
      </c>
      <c r="K313" s="1602"/>
      <c r="L313" s="2586" t="s">
        <v>159</v>
      </c>
      <c r="M313" s="2587"/>
      <c r="S313" s="1308"/>
      <c r="T313" s="1308"/>
      <c r="U313" s="1324"/>
      <c r="V313" s="1317"/>
      <c r="W313" s="1317"/>
      <c r="X313" s="1317"/>
      <c r="Y313" s="1317"/>
      <c r="Z313" s="1317"/>
      <c r="AA313" s="1317"/>
      <c r="AB313" s="1317"/>
      <c r="AC313" s="1317"/>
      <c r="AD313" s="1317"/>
      <c r="AE313" s="1317"/>
      <c r="AF313" s="1317"/>
      <c r="AG313" s="1317"/>
      <c r="AH313" s="1317"/>
      <c r="AI313" s="1317"/>
      <c r="AJ313" s="1317"/>
      <c r="AK313" s="1317"/>
      <c r="AL313" s="1317"/>
      <c r="AM313" s="1317"/>
      <c r="AN313" s="1317"/>
      <c r="AO313" s="1317"/>
      <c r="AP313" s="1317"/>
      <c r="AQ313" s="1317"/>
      <c r="AR313" s="1317"/>
      <c r="AS313" s="1317"/>
    </row>
    <row r="314" spans="1:45" s="1316" customFormat="1">
      <c r="A314" s="1308"/>
      <c r="B314" s="2588" t="s">
        <v>1205</v>
      </c>
      <c r="C314" s="2589"/>
      <c r="D314" s="2589"/>
      <c r="E314" s="2589"/>
      <c r="F314" s="2589"/>
      <c r="G314" s="1724" t="str">
        <f>IFERROR(G309/G306,"")</f>
        <v/>
      </c>
      <c r="H314" s="1724" t="str">
        <f>IFERROR(H309/H306,"")</f>
        <v/>
      </c>
      <c r="I314" s="1724" t="str">
        <f>IFERROR(I309/I306,"")</f>
        <v/>
      </c>
      <c r="J314" s="1602"/>
      <c r="K314" s="1602"/>
      <c r="L314" s="2586" t="s">
        <v>159</v>
      </c>
      <c r="M314" s="2587"/>
      <c r="S314" s="1308"/>
      <c r="T314" s="1308"/>
      <c r="U314" s="1324"/>
      <c r="V314" s="1317"/>
      <c r="W314" s="1317"/>
      <c r="X314" s="1317"/>
      <c r="Y314" s="1317"/>
      <c r="Z314" s="1317"/>
      <c r="AA314" s="1317"/>
      <c r="AB314" s="1317"/>
      <c r="AC314" s="1317"/>
      <c r="AD314" s="1317"/>
      <c r="AE314" s="1317"/>
      <c r="AF314" s="1317"/>
      <c r="AG314" s="1317"/>
      <c r="AH314" s="1317"/>
      <c r="AI314" s="1317"/>
      <c r="AJ314" s="1317"/>
      <c r="AK314" s="1317"/>
      <c r="AL314" s="1317"/>
      <c r="AM314" s="1317"/>
      <c r="AN314" s="1317"/>
      <c r="AO314" s="1317"/>
      <c r="AP314" s="1317"/>
      <c r="AQ314" s="1317"/>
      <c r="AR314" s="1317"/>
      <c r="AS314" s="1317"/>
    </row>
    <row r="315" spans="1:45" s="1316" customFormat="1">
      <c r="A315" s="1308"/>
      <c r="B315" s="2588" t="s">
        <v>1206</v>
      </c>
      <c r="C315" s="2589"/>
      <c r="D315" s="2589"/>
      <c r="E315" s="2589"/>
      <c r="F315" s="2589"/>
      <c r="G315" s="1605" t="s">
        <v>1207</v>
      </c>
      <c r="H315" s="1605" t="s">
        <v>1208</v>
      </c>
      <c r="I315" s="1605" t="s">
        <v>1209</v>
      </c>
      <c r="J315" s="1605" t="s">
        <v>1184</v>
      </c>
      <c r="K315" s="1605" t="s">
        <v>1210</v>
      </c>
      <c r="L315" s="1605" t="s">
        <v>1211</v>
      </c>
      <c r="M315" s="1606" t="s">
        <v>1212</v>
      </c>
      <c r="S315" s="1308"/>
      <c r="T315" s="1308"/>
      <c r="U315" s="1324"/>
      <c r="V315" s="1317"/>
      <c r="W315" s="1317"/>
      <c r="X315" s="1317"/>
      <c r="Y315" s="1317"/>
      <c r="Z315" s="1317"/>
      <c r="AA315" s="1317"/>
      <c r="AB315" s="1317"/>
      <c r="AC315" s="1317"/>
      <c r="AD315" s="1317"/>
      <c r="AE315" s="1317"/>
      <c r="AF315" s="1317"/>
      <c r="AG315" s="1317"/>
      <c r="AH315" s="1317"/>
      <c r="AI315" s="1317"/>
      <c r="AJ315" s="1317"/>
      <c r="AK315" s="1317"/>
      <c r="AL315" s="1317"/>
      <c r="AM315" s="1317"/>
      <c r="AN315" s="1317"/>
      <c r="AO315" s="1317"/>
      <c r="AP315" s="1317"/>
      <c r="AQ315" s="1317"/>
      <c r="AR315" s="1317"/>
      <c r="AS315" s="1317"/>
    </row>
    <row r="316" spans="1:45" s="1316" customFormat="1">
      <c r="A316" s="1308"/>
      <c r="B316" s="1607"/>
      <c r="C316" s="1608"/>
      <c r="D316" s="1608"/>
      <c r="E316" s="1608"/>
      <c r="F316" s="1608"/>
      <c r="G316" s="1725"/>
      <c r="H316" s="1725"/>
      <c r="I316" s="1725"/>
      <c r="J316" s="1609"/>
      <c r="K316" s="1610"/>
      <c r="L316" s="1611">
        <f>SUM(G316:K316)</f>
        <v>0</v>
      </c>
      <c r="M316" s="1612" t="s">
        <v>1213</v>
      </c>
      <c r="S316" s="1308"/>
      <c r="T316" s="1308"/>
      <c r="U316" s="1324"/>
      <c r="V316" s="1317"/>
      <c r="W316" s="1317"/>
      <c r="X316" s="1317"/>
      <c r="Y316" s="1317"/>
      <c r="Z316" s="1317"/>
      <c r="AA316" s="1317"/>
      <c r="AB316" s="1317"/>
      <c r="AC316" s="1317"/>
      <c r="AD316" s="1317"/>
      <c r="AE316" s="1317"/>
      <c r="AF316" s="1317"/>
      <c r="AG316" s="1317"/>
      <c r="AH316" s="1317"/>
      <c r="AI316" s="1317"/>
      <c r="AJ316" s="1317"/>
      <c r="AK316" s="1317"/>
      <c r="AL316" s="1317"/>
      <c r="AM316" s="1317"/>
      <c r="AN316" s="1317"/>
      <c r="AO316" s="1317"/>
      <c r="AP316" s="1317"/>
      <c r="AQ316" s="1317"/>
      <c r="AR316" s="1317"/>
      <c r="AS316" s="1317"/>
    </row>
    <row r="317" spans="1:45" s="1316" customFormat="1">
      <c r="A317" s="1308"/>
      <c r="B317" s="1607"/>
      <c r="C317" s="1608"/>
      <c r="D317" s="1608"/>
      <c r="E317" s="1608"/>
      <c r="F317" s="1608" t="s">
        <v>1214</v>
      </c>
      <c r="G317" s="2788"/>
      <c r="H317" s="2788"/>
      <c r="I317" s="2788"/>
      <c r="J317" s="2788"/>
      <c r="K317" s="2788"/>
      <c r="L317" s="2788"/>
      <c r="M317" s="2789"/>
      <c r="S317" s="1308"/>
      <c r="T317" s="1308"/>
      <c r="U317" s="1324"/>
      <c r="V317" s="1317"/>
      <c r="W317" s="1317"/>
      <c r="X317" s="1317"/>
      <c r="Y317" s="1317"/>
      <c r="Z317" s="1317"/>
      <c r="AA317" s="1317"/>
      <c r="AB317" s="1317"/>
      <c r="AC317" s="1317"/>
      <c r="AD317" s="1317"/>
      <c r="AE317" s="1317"/>
      <c r="AF317" s="1317"/>
      <c r="AG317" s="1317"/>
      <c r="AH317" s="1317"/>
      <c r="AI317" s="1317"/>
      <c r="AJ317" s="1317"/>
      <c r="AK317" s="1317"/>
      <c r="AL317" s="1317"/>
      <c r="AM317" s="1317"/>
      <c r="AN317" s="1317"/>
      <c r="AO317" s="1317"/>
      <c r="AP317" s="1317"/>
      <c r="AQ317" s="1317"/>
      <c r="AR317" s="1317"/>
      <c r="AS317" s="1317"/>
    </row>
    <row r="318" spans="1:45" s="1316" customFormat="1">
      <c r="A318" s="1308"/>
      <c r="B318" s="1607"/>
      <c r="C318" s="1608"/>
      <c r="D318" s="1608"/>
      <c r="E318" s="1608"/>
      <c r="F318" s="1608"/>
      <c r="G318" s="2788"/>
      <c r="H318" s="2788"/>
      <c r="I318" s="2788"/>
      <c r="J318" s="2788"/>
      <c r="K318" s="2788"/>
      <c r="L318" s="2788"/>
      <c r="M318" s="2789"/>
      <c r="S318" s="1308"/>
      <c r="T318" s="1308"/>
      <c r="U318" s="1324"/>
      <c r="V318" s="1317"/>
      <c r="W318" s="1317"/>
      <c r="X318" s="1317"/>
      <c r="Y318" s="1317"/>
      <c r="Z318" s="1317"/>
      <c r="AA318" s="1317"/>
      <c r="AB318" s="1317"/>
      <c r="AC318" s="1317"/>
      <c r="AD318" s="1317"/>
      <c r="AE318" s="1317"/>
      <c r="AF318" s="1317"/>
      <c r="AG318" s="1317"/>
      <c r="AH318" s="1317"/>
      <c r="AI318" s="1317"/>
      <c r="AJ318" s="1317"/>
      <c r="AK318" s="1317"/>
      <c r="AL318" s="1317"/>
      <c r="AM318" s="1317"/>
      <c r="AN318" s="1317"/>
      <c r="AO318" s="1317"/>
      <c r="AP318" s="1317"/>
      <c r="AQ318" s="1317"/>
      <c r="AR318" s="1317"/>
      <c r="AS318" s="1317"/>
    </row>
    <row r="319" spans="1:45" s="1316" customFormat="1" ht="15" thickBot="1">
      <c r="A319" s="1308"/>
      <c r="B319" s="1613"/>
      <c r="C319" s="1614"/>
      <c r="D319" s="1614"/>
      <c r="E319" s="1614"/>
      <c r="F319" s="1614"/>
      <c r="G319" s="2790"/>
      <c r="H319" s="2790"/>
      <c r="I319" s="2790"/>
      <c r="J319" s="2790"/>
      <c r="K319" s="2790"/>
      <c r="L319" s="2790"/>
      <c r="M319" s="2791"/>
      <c r="S319" s="1308"/>
      <c r="T319" s="1308"/>
      <c r="U319" s="1324"/>
      <c r="V319" s="1317"/>
      <c r="W319" s="1317"/>
      <c r="X319" s="1317"/>
      <c r="Y319" s="1317"/>
      <c r="Z319" s="1317"/>
      <c r="AA319" s="1317"/>
      <c r="AB319" s="1317"/>
      <c r="AC319" s="1317"/>
      <c r="AD319" s="1317"/>
      <c r="AE319" s="1317"/>
      <c r="AF319" s="1317"/>
      <c r="AG319" s="1317"/>
      <c r="AH319" s="1317"/>
      <c r="AI319" s="1317"/>
      <c r="AJ319" s="1317"/>
      <c r="AK319" s="1317"/>
      <c r="AL319" s="1317"/>
      <c r="AM319" s="1317"/>
      <c r="AN319" s="1317"/>
      <c r="AO319" s="1317"/>
      <c r="AP319" s="1317"/>
      <c r="AQ319" s="1317"/>
      <c r="AR319" s="1317"/>
      <c r="AS319" s="1317"/>
    </row>
    <row r="320" spans="1:45" s="1316" customFormat="1" ht="18" thickBot="1">
      <c r="A320" s="1308"/>
      <c r="B320" s="2799" t="s">
        <v>1229</v>
      </c>
      <c r="C320" s="2800"/>
      <c r="D320" s="2800"/>
      <c r="E320" s="2800"/>
      <c r="F320" s="2800"/>
      <c r="G320" s="2800"/>
      <c r="H320" s="2800"/>
      <c r="I320" s="2800"/>
      <c r="J320" s="2800"/>
      <c r="K320" s="2800"/>
      <c r="L320" s="2800"/>
      <c r="M320" s="2801"/>
      <c r="S320" s="1308"/>
      <c r="T320" s="1308"/>
      <c r="U320" s="1324"/>
      <c r="V320" s="1317"/>
      <c r="W320" s="1317"/>
      <c r="X320" s="1317"/>
      <c r="Y320" s="1317"/>
      <c r="Z320" s="1317"/>
      <c r="AA320" s="1317"/>
      <c r="AB320" s="1317"/>
      <c r="AC320" s="1317"/>
      <c r="AD320" s="1317"/>
      <c r="AE320" s="1317"/>
      <c r="AF320" s="1317"/>
      <c r="AG320" s="1317"/>
      <c r="AH320" s="1317"/>
      <c r="AI320" s="1317"/>
      <c r="AJ320" s="1317"/>
      <c r="AK320" s="1317"/>
      <c r="AL320" s="1317"/>
      <c r="AM320" s="1317"/>
      <c r="AN320" s="1317"/>
      <c r="AO320" s="1317"/>
      <c r="AP320" s="1317"/>
      <c r="AQ320" s="1317"/>
      <c r="AR320" s="1317"/>
      <c r="AS320" s="1317"/>
    </row>
    <row r="321" spans="1:45" s="1316" customFormat="1" ht="15" thickBot="1">
      <c r="A321" s="1308"/>
      <c r="B321" s="2792" t="s">
        <v>1224</v>
      </c>
      <c r="C321" s="1856"/>
      <c r="D321" s="1856"/>
      <c r="E321" s="1856"/>
      <c r="F321" s="1856"/>
      <c r="G321" s="1857"/>
      <c r="H321" s="1620" t="s">
        <v>41</v>
      </c>
      <c r="I321" s="2793"/>
      <c r="J321" s="2793"/>
      <c r="K321" s="1850" t="str">
        <f>IF(H321="non","Vérifier ce critère","")</f>
        <v>Vérifier ce critère</v>
      </c>
      <c r="L321" s="1850"/>
      <c r="M321" s="2794"/>
      <c r="S321" s="1308"/>
      <c r="T321" s="1308"/>
      <c r="U321" s="1324"/>
      <c r="V321" s="1317"/>
      <c r="W321" s="1317"/>
      <c r="X321" s="1317"/>
      <c r="Y321" s="1317"/>
      <c r="Z321" s="1317"/>
      <c r="AA321" s="1317"/>
      <c r="AB321" s="1317"/>
      <c r="AC321" s="1317"/>
      <c r="AD321" s="1317"/>
      <c r="AE321" s="1317"/>
      <c r="AF321" s="1317"/>
      <c r="AG321" s="1317"/>
      <c r="AH321" s="1317"/>
      <c r="AI321" s="1317"/>
      <c r="AJ321" s="1317"/>
      <c r="AK321" s="1317"/>
      <c r="AL321" s="1317"/>
      <c r="AM321" s="1317"/>
      <c r="AN321" s="1317"/>
      <c r="AO321" s="1317"/>
      <c r="AP321" s="1317"/>
      <c r="AQ321" s="1317"/>
      <c r="AR321" s="1317"/>
      <c r="AS321" s="1317"/>
    </row>
    <row r="322" spans="1:45" s="1316" customFormat="1" ht="15" thickBot="1">
      <c r="A322" s="1308"/>
      <c r="B322" s="2792" t="s">
        <v>1225</v>
      </c>
      <c r="C322" s="1856"/>
      <c r="D322" s="1856"/>
      <c r="E322" s="1856"/>
      <c r="F322" s="1856"/>
      <c r="G322" s="1857"/>
      <c r="H322" s="1620" t="s">
        <v>41</v>
      </c>
      <c r="I322" s="2793"/>
      <c r="J322" s="2793"/>
      <c r="K322" s="1850" t="str">
        <f>IF(H322="non","Vérifier ce critère","")</f>
        <v>Vérifier ce critère</v>
      </c>
      <c r="L322" s="1850"/>
      <c r="M322" s="2794"/>
      <c r="S322" s="1308"/>
      <c r="T322" s="1308"/>
      <c r="U322" s="1324"/>
      <c r="V322" s="1317"/>
      <c r="W322" s="1317"/>
      <c r="X322" s="1317"/>
      <c r="Y322" s="1317"/>
      <c r="Z322" s="1317"/>
      <c r="AA322" s="1317"/>
      <c r="AB322" s="1317"/>
      <c r="AC322" s="1317"/>
      <c r="AD322" s="1317"/>
      <c r="AE322" s="1317"/>
      <c r="AF322" s="1317"/>
      <c r="AG322" s="1317"/>
      <c r="AH322" s="1317"/>
      <c r="AI322" s="1317"/>
      <c r="AJ322" s="1317"/>
      <c r="AK322" s="1317"/>
      <c r="AL322" s="1317"/>
      <c r="AM322" s="1317"/>
      <c r="AN322" s="1317"/>
      <c r="AO322" s="1317"/>
      <c r="AP322" s="1317"/>
      <c r="AQ322" s="1317"/>
      <c r="AR322" s="1317"/>
      <c r="AS322" s="1317"/>
    </row>
    <row r="323" spans="1:45" s="1316" customFormat="1" ht="15" thickBot="1">
      <c r="A323" s="1308"/>
      <c r="B323" s="2792" t="s">
        <v>1226</v>
      </c>
      <c r="C323" s="1856"/>
      <c r="D323" s="1856"/>
      <c r="E323" s="1856"/>
      <c r="F323" s="1856"/>
      <c r="G323" s="1857"/>
      <c r="H323" s="1620" t="s">
        <v>41</v>
      </c>
      <c r="I323" s="2793"/>
      <c r="J323" s="2793"/>
      <c r="K323" s="1850" t="str">
        <f>IF(H323="non","Vérifier ce critère","")</f>
        <v>Vérifier ce critère</v>
      </c>
      <c r="L323" s="1850"/>
      <c r="M323" s="2794"/>
      <c r="S323" s="1308"/>
      <c r="T323" s="1308"/>
      <c r="U323" s="1324"/>
      <c r="V323" s="1317"/>
      <c r="W323" s="1317"/>
      <c r="X323" s="1317"/>
      <c r="Y323" s="1317"/>
      <c r="Z323" s="1317"/>
      <c r="AA323" s="1317"/>
      <c r="AB323" s="1317"/>
      <c r="AC323" s="1317"/>
      <c r="AD323" s="1317"/>
      <c r="AE323" s="1317"/>
      <c r="AF323" s="1317"/>
      <c r="AG323" s="1317"/>
      <c r="AH323" s="1317"/>
      <c r="AI323" s="1317"/>
      <c r="AJ323" s="1317"/>
      <c r="AK323" s="1317"/>
      <c r="AL323" s="1317"/>
      <c r="AM323" s="1317"/>
      <c r="AN323" s="1317"/>
      <c r="AO323" s="1317"/>
      <c r="AP323" s="1317"/>
      <c r="AQ323" s="1317"/>
      <c r="AR323" s="1317"/>
      <c r="AS323" s="1317"/>
    </row>
    <row r="324" spans="1:45" s="1316" customFormat="1" ht="15" thickBot="1">
      <c r="A324" s="1308"/>
      <c r="B324" s="2792" t="s">
        <v>1227</v>
      </c>
      <c r="C324" s="1856"/>
      <c r="D324" s="1856"/>
      <c r="E324" s="1856"/>
      <c r="F324" s="1856"/>
      <c r="G324" s="1857"/>
      <c r="H324" s="1621" t="str">
        <f>IF('Fiche projet géothermie'!G304="pas de réseau de chaleur","non concerné",IF('Fiche projet géothermie'!G313&gt;=1,"ok","non éligible"))</f>
        <v>non concerné</v>
      </c>
      <c r="I324" s="2793"/>
      <c r="J324" s="2793"/>
      <c r="K324" s="1850" t="str">
        <f>IF(H324="non","Vérifier ce critère","")</f>
        <v/>
      </c>
      <c r="L324" s="1850"/>
      <c r="M324" s="2794"/>
      <c r="S324" s="1308"/>
      <c r="T324" s="1308"/>
      <c r="U324" s="1324"/>
      <c r="V324" s="1317"/>
      <c r="W324" s="1317"/>
      <c r="X324" s="1317"/>
      <c r="Y324" s="1317"/>
      <c r="Z324" s="1317"/>
      <c r="AA324" s="1317"/>
      <c r="AB324" s="1317"/>
      <c r="AC324" s="1317"/>
      <c r="AD324" s="1317"/>
      <c r="AE324" s="1317"/>
      <c r="AF324" s="1317"/>
      <c r="AG324" s="1317"/>
      <c r="AH324" s="1317"/>
      <c r="AI324" s="1317"/>
      <c r="AJ324" s="1317"/>
      <c r="AK324" s="1317"/>
      <c r="AL324" s="1317"/>
      <c r="AM324" s="1317"/>
      <c r="AN324" s="1317"/>
      <c r="AO324" s="1317"/>
      <c r="AP324" s="1317"/>
      <c r="AQ324" s="1317"/>
      <c r="AR324" s="1317"/>
      <c r="AS324" s="1317"/>
    </row>
    <row r="325" spans="1:45" s="1316" customFormat="1" ht="15" thickBot="1">
      <c r="A325" s="1308"/>
      <c r="B325" s="2795" t="s">
        <v>1228</v>
      </c>
      <c r="C325" s="2796"/>
      <c r="D325" s="2796"/>
      <c r="E325" s="2796"/>
      <c r="F325" s="2796"/>
      <c r="G325" s="2797"/>
      <c r="H325" s="1622" t="str">
        <f>IF('Fiche projet géothermie'!G304="pas de réseau de chaleur","non concerné",IF(G308&gt;=0.65,"ok","non éligible"))</f>
        <v>non concerné</v>
      </c>
      <c r="I325" s="2798"/>
      <c r="J325" s="2798"/>
      <c r="K325" s="1850" t="str">
        <f>IF(H325="non","Vérifier ce critère","")</f>
        <v/>
      </c>
      <c r="L325" s="1850"/>
      <c r="M325" s="2794"/>
      <c r="S325" s="1308"/>
      <c r="T325" s="1308"/>
      <c r="U325" s="1324"/>
      <c r="V325" s="1317"/>
      <c r="W325" s="1317"/>
      <c r="X325" s="1317"/>
      <c r="Y325" s="1317"/>
      <c r="Z325" s="1317"/>
      <c r="AA325" s="1317"/>
      <c r="AB325" s="1317"/>
      <c r="AC325" s="1317"/>
      <c r="AD325" s="1317"/>
      <c r="AE325" s="1317"/>
      <c r="AF325" s="1317"/>
      <c r="AG325" s="1317"/>
      <c r="AH325" s="1317"/>
      <c r="AI325" s="1317"/>
      <c r="AJ325" s="1317"/>
      <c r="AK325" s="1317"/>
      <c r="AL325" s="1317"/>
      <c r="AM325" s="1317"/>
      <c r="AN325" s="1317"/>
      <c r="AO325" s="1317"/>
      <c r="AP325" s="1317"/>
      <c r="AQ325" s="1317"/>
      <c r="AR325" s="1317"/>
      <c r="AS325" s="1317"/>
    </row>
    <row r="326" spans="1:45" s="1316" customFormat="1">
      <c r="A326" s="1308"/>
      <c r="B326" s="1507"/>
      <c r="C326" s="1507"/>
      <c r="D326" s="1507"/>
      <c r="E326" s="1507"/>
      <c r="F326" s="1507"/>
      <c r="G326" s="1507"/>
      <c r="H326" s="1379"/>
      <c r="I326" s="1379"/>
      <c r="J326" s="1379"/>
      <c r="K326" s="1379"/>
      <c r="L326" s="1308"/>
      <c r="M326" s="1308"/>
      <c r="S326" s="1308"/>
      <c r="T326" s="1308"/>
      <c r="U326" s="1324"/>
      <c r="V326" s="1317"/>
      <c r="W326" s="1317"/>
      <c r="X326" s="1317"/>
      <c r="Y326" s="1317"/>
      <c r="Z326" s="1317"/>
      <c r="AA326" s="1317"/>
      <c r="AB326" s="1317"/>
      <c r="AC326" s="1317"/>
      <c r="AD326" s="1317"/>
      <c r="AE326" s="1317"/>
      <c r="AF326" s="1317"/>
      <c r="AG326" s="1317"/>
      <c r="AH326" s="1317"/>
      <c r="AI326" s="1317"/>
      <c r="AJ326" s="1317"/>
      <c r="AK326" s="1317"/>
      <c r="AL326" s="1317"/>
      <c r="AM326" s="1317"/>
      <c r="AN326" s="1317"/>
      <c r="AO326" s="1317"/>
      <c r="AP326" s="1317"/>
      <c r="AQ326" s="1317"/>
      <c r="AR326" s="1317"/>
      <c r="AS326" s="1317"/>
    </row>
    <row r="327" spans="1:45" s="1316" customFormat="1">
      <c r="A327" s="1308"/>
      <c r="B327" s="1507"/>
      <c r="C327" s="1507"/>
      <c r="D327" s="1507"/>
      <c r="E327" s="1507"/>
      <c r="F327" s="1507"/>
      <c r="G327" s="1507"/>
      <c r="H327" s="1379"/>
      <c r="I327" s="1379"/>
      <c r="J327" s="1379"/>
      <c r="K327" s="1379"/>
      <c r="L327" s="1308"/>
      <c r="M327" s="1308"/>
      <c r="S327" s="1308"/>
      <c r="T327" s="1308"/>
      <c r="U327" s="1324"/>
      <c r="V327" s="1317"/>
      <c r="W327" s="1317"/>
      <c r="X327" s="1317"/>
      <c r="Y327" s="1317"/>
      <c r="Z327" s="1317"/>
      <c r="AA327" s="1317"/>
      <c r="AB327" s="1317"/>
      <c r="AC327" s="1317"/>
      <c r="AD327" s="1317"/>
      <c r="AE327" s="1317"/>
      <c r="AF327" s="1317"/>
      <c r="AG327" s="1317"/>
      <c r="AH327" s="1317"/>
      <c r="AI327" s="1317"/>
      <c r="AJ327" s="1317"/>
      <c r="AK327" s="1317"/>
      <c r="AL327" s="1317"/>
      <c r="AM327" s="1317"/>
      <c r="AN327" s="1317"/>
      <c r="AO327" s="1317"/>
      <c r="AP327" s="1317"/>
      <c r="AQ327" s="1317"/>
      <c r="AR327" s="1317"/>
      <c r="AS327" s="1317"/>
    </row>
    <row r="328" spans="1:45" s="1316" customFormat="1">
      <c r="A328" s="1308"/>
      <c r="B328" s="1507"/>
      <c r="C328" s="1507"/>
      <c r="D328" s="1507"/>
      <c r="E328" s="1507"/>
      <c r="F328" s="1507"/>
      <c r="G328" s="1507"/>
      <c r="H328" s="1379"/>
      <c r="I328" s="1379"/>
      <c r="J328" s="1379"/>
      <c r="K328" s="1379"/>
      <c r="L328" s="1308"/>
      <c r="M328" s="1308"/>
      <c r="S328" s="1308"/>
      <c r="T328" s="1308"/>
      <c r="U328" s="1324"/>
      <c r="V328" s="1317"/>
      <c r="W328" s="1317"/>
      <c r="X328" s="1317"/>
      <c r="Y328" s="1317"/>
      <c r="Z328" s="1317"/>
      <c r="AA328" s="1317"/>
      <c r="AB328" s="1317"/>
      <c r="AC328" s="1317"/>
      <c r="AD328" s="1317"/>
      <c r="AE328" s="1317"/>
      <c r="AF328" s="1317"/>
      <c r="AG328" s="1317"/>
      <c r="AH328" s="1317"/>
      <c r="AI328" s="1317"/>
      <c r="AJ328" s="1317"/>
      <c r="AK328" s="1317"/>
      <c r="AL328" s="1317"/>
      <c r="AM328" s="1317"/>
      <c r="AN328" s="1317"/>
      <c r="AO328" s="1317"/>
      <c r="AP328" s="1317"/>
      <c r="AQ328" s="1317"/>
      <c r="AR328" s="1317"/>
      <c r="AS328" s="1317"/>
    </row>
    <row r="329" spans="1:45" s="1316" customFormat="1">
      <c r="A329" s="1308"/>
      <c r="B329" s="1507"/>
      <c r="C329" s="1507"/>
      <c r="D329" s="1507"/>
      <c r="E329" s="1507"/>
      <c r="F329" s="1507"/>
      <c r="G329" s="1507"/>
      <c r="H329" s="1379"/>
      <c r="I329" s="1379"/>
      <c r="J329" s="1379"/>
      <c r="K329" s="1379"/>
      <c r="L329" s="1308"/>
      <c r="M329" s="1308"/>
      <c r="S329" s="1308"/>
      <c r="T329" s="1308"/>
      <c r="U329" s="1324"/>
      <c r="V329" s="1317"/>
      <c r="W329" s="1317"/>
      <c r="X329" s="1317"/>
      <c r="Y329" s="1317"/>
      <c r="Z329" s="1317"/>
      <c r="AA329" s="1317"/>
      <c r="AB329" s="1317"/>
      <c r="AC329" s="1317"/>
      <c r="AD329" s="1317"/>
      <c r="AE329" s="1317"/>
      <c r="AF329" s="1317"/>
      <c r="AG329" s="1317"/>
      <c r="AH329" s="1317"/>
      <c r="AI329" s="1317"/>
      <c r="AJ329" s="1317"/>
      <c r="AK329" s="1317"/>
      <c r="AL329" s="1317"/>
      <c r="AM329" s="1317"/>
      <c r="AN329" s="1317"/>
      <c r="AO329" s="1317"/>
      <c r="AP329" s="1317"/>
      <c r="AQ329" s="1317"/>
      <c r="AR329" s="1317"/>
      <c r="AS329" s="1317"/>
    </row>
    <row r="330" spans="1:45" s="1316" customFormat="1">
      <c r="A330" s="1308"/>
      <c r="B330" s="1507"/>
      <c r="C330" s="1507"/>
      <c r="D330" s="1507"/>
      <c r="E330" s="1507"/>
      <c r="F330" s="1507"/>
      <c r="G330" s="1507"/>
      <c r="H330" s="1379"/>
      <c r="I330" s="1379"/>
      <c r="J330" s="1379"/>
      <c r="K330" s="1379"/>
      <c r="L330" s="1308"/>
      <c r="M330" s="1308"/>
      <c r="S330" s="1308"/>
      <c r="T330" s="1409"/>
      <c r="U330" s="1324"/>
      <c r="V330" s="1317"/>
      <c r="W330" s="1317"/>
      <c r="X330" s="1317"/>
      <c r="Y330" s="1317"/>
      <c r="Z330" s="1317"/>
      <c r="AA330" s="1317"/>
      <c r="AB330" s="1317"/>
      <c r="AC330" s="1317"/>
      <c r="AD330" s="1317"/>
      <c r="AE330" s="1317"/>
      <c r="AF330" s="1317"/>
      <c r="AG330" s="1317"/>
      <c r="AH330" s="1317"/>
      <c r="AI330" s="1317"/>
      <c r="AJ330" s="1317"/>
      <c r="AK330" s="1317"/>
      <c r="AL330" s="1317"/>
      <c r="AM330" s="1317"/>
      <c r="AN330" s="1317"/>
      <c r="AO330" s="1317"/>
      <c r="AP330" s="1317"/>
      <c r="AQ330" s="1317"/>
      <c r="AR330" s="1317"/>
      <c r="AS330" s="1317"/>
    </row>
    <row r="331" spans="1:45" s="1316" customFormat="1" ht="15" thickBot="1">
      <c r="A331" s="1308"/>
      <c r="B331" s="1507"/>
      <c r="C331" s="1507"/>
      <c r="D331" s="1507"/>
      <c r="E331" s="1507"/>
      <c r="F331" s="1507"/>
      <c r="G331" s="1507"/>
      <c r="H331" s="1379"/>
      <c r="I331" s="1379"/>
      <c r="J331" s="1379"/>
      <c r="K331" s="1379"/>
      <c r="L331" s="1308"/>
      <c r="M331" s="1308"/>
      <c r="S331" s="1308"/>
      <c r="T331" s="1409"/>
      <c r="U331" s="1324"/>
      <c r="V331" s="1317"/>
      <c r="W331" s="1317"/>
      <c r="X331" s="1317"/>
      <c r="Y331" s="1317"/>
      <c r="Z331" s="1317"/>
      <c r="AA331" s="1317"/>
      <c r="AB331" s="1317"/>
      <c r="AC331" s="1317"/>
      <c r="AD331" s="1317"/>
      <c r="AE331" s="1317"/>
      <c r="AF331" s="1317"/>
      <c r="AG331" s="1317"/>
      <c r="AH331" s="1317"/>
      <c r="AI331" s="1317"/>
      <c r="AJ331" s="1317"/>
      <c r="AK331" s="1317"/>
      <c r="AL331" s="1317"/>
      <c r="AM331" s="1317"/>
      <c r="AN331" s="1317"/>
      <c r="AO331" s="1317"/>
      <c r="AP331" s="1317"/>
      <c r="AQ331" s="1317"/>
      <c r="AR331" s="1317"/>
      <c r="AS331" s="1317"/>
    </row>
    <row r="332" spans="1:45" s="1316" customFormat="1" ht="18.600000000000001" thickBot="1">
      <c r="A332" s="1308"/>
      <c r="B332" s="2577" t="s">
        <v>1222</v>
      </c>
      <c r="C332" s="2578"/>
      <c r="D332" s="2578"/>
      <c r="E332" s="2578"/>
      <c r="F332" s="2578"/>
      <c r="G332" s="2578"/>
      <c r="H332" s="2578"/>
      <c r="I332" s="2578"/>
      <c r="J332" s="2578"/>
      <c r="K332" s="2578"/>
      <c r="L332" s="2578"/>
      <c r="M332" s="2579"/>
      <c r="S332" s="1308"/>
      <c r="T332" s="1308"/>
      <c r="U332" s="1324"/>
      <c r="V332" s="1317"/>
      <c r="W332" s="1317"/>
      <c r="X332" s="1317"/>
      <c r="Y332" s="1317"/>
      <c r="Z332" s="1317"/>
      <c r="AA332" s="1317"/>
      <c r="AB332" s="1317"/>
      <c r="AC332" s="1317"/>
      <c r="AD332" s="1317"/>
      <c r="AE332" s="1317"/>
      <c r="AF332" s="1317"/>
      <c r="AG332" s="1317"/>
      <c r="AH332" s="1317"/>
      <c r="AI332" s="1317"/>
      <c r="AJ332" s="1317"/>
      <c r="AK332" s="1317"/>
      <c r="AL332" s="1317"/>
      <c r="AM332" s="1317"/>
      <c r="AN332" s="1317"/>
      <c r="AO332" s="1317"/>
      <c r="AP332" s="1317"/>
      <c r="AQ332" s="1317"/>
      <c r="AR332" s="1317"/>
      <c r="AS332" s="1317"/>
    </row>
    <row r="333" spans="1:45" s="1316" customFormat="1" ht="18" thickBot="1">
      <c r="A333" s="1308"/>
      <c r="B333" s="2563" t="s">
        <v>63</v>
      </c>
      <c r="C333" s="2564"/>
      <c r="D333" s="2565"/>
      <c r="E333" s="1508" t="s">
        <v>64</v>
      </c>
      <c r="F333" s="1508" t="s">
        <v>103</v>
      </c>
      <c r="G333" s="1508" t="s">
        <v>207</v>
      </c>
      <c r="H333" s="2566" t="s">
        <v>342</v>
      </c>
      <c r="I333" s="2564"/>
      <c r="J333" s="2564"/>
      <c r="K333" s="2564"/>
      <c r="L333" s="2564"/>
      <c r="M333" s="2567"/>
      <c r="S333" s="1308"/>
      <c r="T333" s="1308"/>
      <c r="U333" s="1324"/>
      <c r="V333" s="1317"/>
      <c r="W333" s="1317"/>
      <c r="X333" s="1317"/>
      <c r="Y333" s="1317"/>
      <c r="Z333" s="1317"/>
      <c r="AA333" s="1317"/>
      <c r="AB333" s="1317"/>
      <c r="AC333" s="1317"/>
      <c r="AD333" s="1317"/>
      <c r="AE333" s="1317"/>
      <c r="AF333" s="1317"/>
      <c r="AG333" s="1317"/>
      <c r="AH333" s="1317"/>
      <c r="AI333" s="1317"/>
      <c r="AJ333" s="1317"/>
      <c r="AK333" s="1317"/>
      <c r="AL333" s="1317"/>
      <c r="AM333" s="1317"/>
      <c r="AN333" s="1317"/>
      <c r="AO333" s="1317"/>
      <c r="AP333" s="1317"/>
      <c r="AQ333" s="1317"/>
      <c r="AR333" s="1317"/>
      <c r="AS333" s="1317"/>
    </row>
    <row r="334" spans="1:45" s="1316" customFormat="1" ht="15" thickBot="1">
      <c r="A334" s="1308"/>
      <c r="B334" s="2568" t="s">
        <v>102</v>
      </c>
      <c r="C334" s="2569"/>
      <c r="D334" s="2570"/>
      <c r="E334" s="1509" t="e">
        <f>F246-E335</f>
        <v>#VALUE!</v>
      </c>
      <c r="F334" s="1510" t="e">
        <f>E334/$F$246</f>
        <v>#VALUE!</v>
      </c>
      <c r="G334" s="1511"/>
      <c r="H334" s="1512"/>
      <c r="I334" s="1512"/>
      <c r="J334" s="1512"/>
      <c r="K334" s="1512"/>
      <c r="L334" s="1512"/>
      <c r="M334" s="1513"/>
      <c r="S334" s="1308"/>
      <c r="T334" s="1308"/>
      <c r="U334" s="1324"/>
      <c r="V334" s="1317"/>
      <c r="W334" s="1317"/>
      <c r="X334" s="1317"/>
      <c r="Y334" s="1317"/>
      <c r="Z334" s="1317"/>
      <c r="AA334" s="1317"/>
      <c r="AB334" s="1317"/>
      <c r="AC334" s="1317"/>
      <c r="AD334" s="1317"/>
      <c r="AE334" s="1317"/>
      <c r="AF334" s="1317"/>
      <c r="AG334" s="1317"/>
      <c r="AH334" s="1317"/>
      <c r="AI334" s="1317"/>
      <c r="AJ334" s="1317"/>
      <c r="AK334" s="1317"/>
      <c r="AL334" s="1317"/>
      <c r="AM334" s="1317"/>
      <c r="AN334" s="1317"/>
      <c r="AO334" s="1317"/>
      <c r="AP334" s="1317"/>
      <c r="AQ334" s="1317"/>
      <c r="AR334" s="1317"/>
      <c r="AS334" s="1317"/>
    </row>
    <row r="335" spans="1:45" s="1316" customFormat="1" ht="15" thickBot="1">
      <c r="A335" s="1308"/>
      <c r="B335" s="2568" t="s">
        <v>65</v>
      </c>
      <c r="C335" s="2569"/>
      <c r="D335" s="2570"/>
      <c r="E335" s="1514" t="e">
        <f>SUM(E336:E340)</f>
        <v>#VALUE!</v>
      </c>
      <c r="F335" s="1510" t="e">
        <f t="shared" ref="F335:F341" si="4">E335/$F$246</f>
        <v>#VALUE!</v>
      </c>
      <c r="G335" s="1511"/>
      <c r="H335" s="1515"/>
      <c r="I335" s="1515"/>
      <c r="J335" s="1515"/>
      <c r="K335" s="1515"/>
      <c r="L335" s="1515"/>
      <c r="M335" s="1516"/>
      <c r="S335" s="1308"/>
      <c r="T335" s="1308"/>
      <c r="U335" s="1324"/>
      <c r="V335" s="1317"/>
      <c r="W335" s="1317"/>
      <c r="X335" s="1317"/>
      <c r="Y335" s="1317"/>
      <c r="Z335" s="1317"/>
      <c r="AA335" s="1317"/>
      <c r="AB335" s="1317"/>
      <c r="AC335" s="1317"/>
      <c r="AD335" s="1317"/>
      <c r="AE335" s="1317"/>
      <c r="AF335" s="1317"/>
      <c r="AG335" s="1317"/>
      <c r="AH335" s="1317"/>
      <c r="AI335" s="1317"/>
      <c r="AJ335" s="1317"/>
      <c r="AK335" s="1317"/>
      <c r="AL335" s="1317"/>
      <c r="AM335" s="1317"/>
      <c r="AN335" s="1317"/>
      <c r="AO335" s="1317"/>
      <c r="AP335" s="1317"/>
      <c r="AQ335" s="1317"/>
      <c r="AR335" s="1317"/>
      <c r="AS335" s="1317"/>
    </row>
    <row r="336" spans="1:45" s="1316" customFormat="1">
      <c r="A336" s="1308"/>
      <c r="B336" s="2571" t="s">
        <v>1100</v>
      </c>
      <c r="C336" s="2572"/>
      <c r="D336" s="2573"/>
      <c r="E336" s="1517" t="e">
        <f>'A remplir - calcul aide'!E34</f>
        <v>#VALUE!</v>
      </c>
      <c r="F336" s="1510" t="e">
        <f t="shared" si="4"/>
        <v>#VALUE!</v>
      </c>
      <c r="G336" s="1511"/>
      <c r="H336" s="1515"/>
      <c r="I336" s="1515"/>
      <c r="J336" s="1515"/>
      <c r="K336" s="1515"/>
      <c r="L336" s="1515"/>
      <c r="M336" s="1516"/>
      <c r="S336" s="1308"/>
      <c r="T336" s="1308"/>
      <c r="U336" s="1324"/>
      <c r="V336" s="1317"/>
      <c r="W336" s="1317"/>
      <c r="X336" s="1317"/>
      <c r="Y336" s="1317"/>
      <c r="Z336" s="1317"/>
      <c r="AA336" s="1317"/>
      <c r="AB336" s="1317"/>
      <c r="AC336" s="1317"/>
      <c r="AD336" s="1317"/>
      <c r="AE336" s="1317"/>
      <c r="AF336" s="1317"/>
      <c r="AG336" s="1317"/>
      <c r="AH336" s="1317"/>
      <c r="AI336" s="1317"/>
      <c r="AJ336" s="1317"/>
      <c r="AK336" s="1317"/>
      <c r="AL336" s="1317"/>
      <c r="AM336" s="1317"/>
      <c r="AN336" s="1317"/>
      <c r="AO336" s="1317"/>
      <c r="AP336" s="1317"/>
      <c r="AQ336" s="1317"/>
      <c r="AR336" s="1317"/>
      <c r="AS336" s="1317"/>
    </row>
    <row r="337" spans="1:45" s="1316" customFormat="1">
      <c r="A337" s="1308"/>
      <c r="B337" s="2574" t="s">
        <v>66</v>
      </c>
      <c r="C337" s="2575"/>
      <c r="D337" s="2576"/>
      <c r="E337" s="1518">
        <v>0</v>
      </c>
      <c r="F337" s="1510" t="e">
        <f t="shared" si="4"/>
        <v>#DIV/0!</v>
      </c>
      <c r="G337" s="1511"/>
      <c r="H337" s="1515"/>
      <c r="I337" s="1515"/>
      <c r="J337" s="1515"/>
      <c r="K337" s="1515"/>
      <c r="L337" s="1515"/>
      <c r="M337" s="1516"/>
      <c r="S337" s="1308"/>
      <c r="T337" s="1308"/>
      <c r="U337" s="1324"/>
      <c r="V337" s="1317"/>
      <c r="W337" s="1317"/>
      <c r="X337" s="1317"/>
      <c r="Y337" s="1317"/>
      <c r="Z337" s="1317"/>
      <c r="AA337" s="1317"/>
      <c r="AB337" s="1317"/>
      <c r="AC337" s="1317"/>
      <c r="AD337" s="1317"/>
      <c r="AE337" s="1317"/>
      <c r="AF337" s="1317"/>
      <c r="AG337" s="1317"/>
      <c r="AH337" s="1317"/>
      <c r="AI337" s="1317"/>
      <c r="AJ337" s="1317"/>
      <c r="AK337" s="1317"/>
      <c r="AL337" s="1317"/>
      <c r="AM337" s="1317"/>
      <c r="AN337" s="1317"/>
      <c r="AO337" s="1317"/>
      <c r="AP337" s="1317"/>
      <c r="AQ337" s="1317"/>
      <c r="AR337" s="1317"/>
      <c r="AS337" s="1317"/>
    </row>
    <row r="338" spans="1:45" s="1316" customFormat="1">
      <c r="A338" s="1308"/>
      <c r="B338" s="2574" t="s">
        <v>69</v>
      </c>
      <c r="C338" s="2575"/>
      <c r="D338" s="2576"/>
      <c r="E338" s="1518">
        <v>0</v>
      </c>
      <c r="F338" s="1510" t="e">
        <f t="shared" si="4"/>
        <v>#DIV/0!</v>
      </c>
      <c r="G338" s="1511"/>
      <c r="H338" s="1515"/>
      <c r="I338" s="1515"/>
      <c r="J338" s="1515"/>
      <c r="K338" s="1515"/>
      <c r="L338" s="1515"/>
      <c r="M338" s="1516"/>
      <c r="S338" s="1308"/>
      <c r="T338" s="1308"/>
      <c r="U338" s="1324"/>
      <c r="V338" s="1317"/>
      <c r="W338" s="1317"/>
      <c r="X338" s="1317"/>
      <c r="Y338" s="1317"/>
      <c r="Z338" s="1317"/>
      <c r="AA338" s="1317"/>
      <c r="AB338" s="1317"/>
      <c r="AC338" s="1317"/>
      <c r="AD338" s="1317"/>
      <c r="AE338" s="1317"/>
      <c r="AF338" s="1317"/>
      <c r="AG338" s="1317"/>
      <c r="AH338" s="1317"/>
      <c r="AI338" s="1317"/>
      <c r="AJ338" s="1317"/>
      <c r="AK338" s="1317"/>
      <c r="AL338" s="1317"/>
      <c r="AM338" s="1317"/>
      <c r="AN338" s="1317"/>
      <c r="AO338" s="1317"/>
      <c r="AP338" s="1317"/>
      <c r="AQ338" s="1317"/>
      <c r="AR338" s="1317"/>
      <c r="AS338" s="1317"/>
    </row>
    <row r="339" spans="1:45" s="1316" customFormat="1">
      <c r="A339" s="1308"/>
      <c r="B339" s="2574" t="s">
        <v>70</v>
      </c>
      <c r="C339" s="2575"/>
      <c r="D339" s="2576"/>
      <c r="E339" s="1518">
        <v>0</v>
      </c>
      <c r="F339" s="1510" t="e">
        <f t="shared" si="4"/>
        <v>#DIV/0!</v>
      </c>
      <c r="G339" s="1511"/>
      <c r="H339" s="1515"/>
      <c r="I339" s="1515"/>
      <c r="J339" s="1515"/>
      <c r="K339" s="1515"/>
      <c r="L339" s="1515"/>
      <c r="M339" s="1516"/>
      <c r="S339" s="1308"/>
      <c r="T339" s="1409"/>
      <c r="U339" s="1324"/>
      <c r="V339" s="1317"/>
      <c r="W339" s="1317"/>
      <c r="X339" s="1317"/>
      <c r="Y339" s="1317"/>
      <c r="Z339" s="1317"/>
      <c r="AA339" s="1317"/>
      <c r="AB339" s="1317"/>
      <c r="AC339" s="1317"/>
      <c r="AD339" s="1317"/>
      <c r="AE339" s="1317"/>
      <c r="AF339" s="1317"/>
      <c r="AG339" s="1317"/>
      <c r="AH339" s="1317"/>
      <c r="AI339" s="1317"/>
      <c r="AJ339" s="1317"/>
      <c r="AK339" s="1317"/>
      <c r="AL339" s="1317"/>
      <c r="AM339" s="1317"/>
      <c r="AN339" s="1317"/>
      <c r="AO339" s="1317"/>
      <c r="AP339" s="1317"/>
      <c r="AQ339" s="1317"/>
      <c r="AR339" s="1317"/>
      <c r="AS339" s="1317"/>
    </row>
    <row r="340" spans="1:45" s="1316" customFormat="1" ht="15" thickBot="1">
      <c r="A340" s="1308"/>
      <c r="B340" s="2574" t="s">
        <v>67</v>
      </c>
      <c r="C340" s="2575"/>
      <c r="D340" s="2576"/>
      <c r="E340" s="1519">
        <v>0</v>
      </c>
      <c r="F340" s="1510" t="e">
        <f t="shared" si="4"/>
        <v>#DIV/0!</v>
      </c>
      <c r="G340" s="1511"/>
      <c r="H340" s="1515"/>
      <c r="I340" s="1515"/>
      <c r="J340" s="1515"/>
      <c r="K340" s="1515"/>
      <c r="L340" s="1515"/>
      <c r="M340" s="1516"/>
      <c r="S340" s="1308"/>
      <c r="T340" s="1409"/>
      <c r="U340" s="1324"/>
      <c r="V340" s="1317"/>
      <c r="W340" s="1317"/>
      <c r="X340" s="1317"/>
      <c r="Y340" s="1317"/>
      <c r="Z340" s="1317"/>
      <c r="AA340" s="1317"/>
      <c r="AB340" s="1317"/>
      <c r="AC340" s="1317"/>
      <c r="AD340" s="1317"/>
      <c r="AE340" s="1317"/>
      <c r="AF340" s="1317"/>
      <c r="AG340" s="1317"/>
      <c r="AH340" s="1317"/>
      <c r="AI340" s="1317"/>
      <c r="AJ340" s="1317"/>
      <c r="AK340" s="1317"/>
      <c r="AL340" s="1317"/>
      <c r="AM340" s="1317"/>
      <c r="AN340" s="1317"/>
      <c r="AO340" s="1317"/>
      <c r="AP340" s="1317"/>
      <c r="AQ340" s="1317"/>
      <c r="AR340" s="1317"/>
      <c r="AS340" s="1317"/>
    </row>
    <row r="341" spans="1:45" s="1316" customFormat="1" ht="15" thickBot="1">
      <c r="A341" s="1308"/>
      <c r="B341" s="2556" t="s">
        <v>71</v>
      </c>
      <c r="C341" s="2557"/>
      <c r="D341" s="2558"/>
      <c r="E341" s="1735">
        <v>0</v>
      </c>
      <c r="F341" s="1729" t="e">
        <f t="shared" si="4"/>
        <v>#DIV/0!</v>
      </c>
      <c r="G341" s="1520"/>
      <c r="H341" s="1515"/>
      <c r="I341" s="1515"/>
      <c r="J341" s="1515"/>
      <c r="K341" s="1515"/>
      <c r="L341" s="1515"/>
      <c r="M341" s="1516"/>
      <c r="S341" s="1308"/>
      <c r="T341" s="1308"/>
      <c r="U341" s="1324"/>
      <c r="V341" s="1317"/>
      <c r="W341" s="1317"/>
      <c r="X341" s="1317"/>
      <c r="Y341" s="1317"/>
      <c r="Z341" s="1317"/>
      <c r="AA341" s="1317"/>
      <c r="AB341" s="1317"/>
      <c r="AC341" s="1317"/>
      <c r="AD341" s="1317"/>
      <c r="AE341" s="1317"/>
      <c r="AF341" s="1317"/>
      <c r="AG341" s="1317"/>
      <c r="AH341" s="1317"/>
      <c r="AI341" s="1317"/>
      <c r="AJ341" s="1317"/>
      <c r="AK341" s="1317"/>
      <c r="AL341" s="1317"/>
      <c r="AM341" s="1317"/>
      <c r="AN341" s="1317"/>
      <c r="AO341" s="1317"/>
      <c r="AP341" s="1317"/>
      <c r="AQ341" s="1317"/>
      <c r="AR341" s="1317"/>
      <c r="AS341" s="1317"/>
    </row>
    <row r="342" spans="1:45" s="1316" customFormat="1" ht="15" thickBot="1">
      <c r="A342" s="1308"/>
      <c r="B342" s="2559" t="s">
        <v>810</v>
      </c>
      <c r="C342" s="2560"/>
      <c r="D342" s="2560"/>
      <c r="E342" s="1521" t="e">
        <f>SUM(E334:E334,E335,E341)</f>
        <v>#VALUE!</v>
      </c>
      <c r="F342" s="2561"/>
      <c r="G342" s="2561"/>
      <c r="H342" s="2561"/>
      <c r="I342" s="2561"/>
      <c r="J342" s="2561"/>
      <c r="K342" s="2561"/>
      <c r="L342" s="2561"/>
      <c r="M342" s="2562"/>
      <c r="S342" s="1308"/>
      <c r="T342" s="1308"/>
      <c r="U342" s="1324"/>
      <c r="V342" s="1317"/>
      <c r="W342" s="1317"/>
      <c r="X342" s="1317"/>
      <c r="Y342" s="1317"/>
      <c r="Z342" s="1317"/>
      <c r="AA342" s="1317"/>
      <c r="AB342" s="1317"/>
      <c r="AC342" s="1317"/>
      <c r="AD342" s="1317"/>
      <c r="AE342" s="1317"/>
      <c r="AF342" s="1317"/>
      <c r="AG342" s="1317"/>
      <c r="AH342" s="1317"/>
      <c r="AI342" s="1317"/>
      <c r="AJ342" s="1317"/>
      <c r="AK342" s="1317"/>
      <c r="AL342" s="1317"/>
      <c r="AM342" s="1317"/>
      <c r="AN342" s="1317"/>
      <c r="AO342" s="1317"/>
      <c r="AP342" s="1317"/>
      <c r="AQ342" s="1317"/>
      <c r="AR342" s="1317"/>
      <c r="AS342" s="1317"/>
    </row>
    <row r="343" spans="1:45" s="1316" customFormat="1">
      <c r="S343" s="1308"/>
      <c r="T343" s="1308"/>
      <c r="U343" s="1324"/>
      <c r="V343" s="1317"/>
      <c r="W343" s="1317"/>
      <c r="X343" s="1317"/>
      <c r="Y343" s="1317"/>
      <c r="Z343" s="1317"/>
      <c r="AA343" s="1317"/>
      <c r="AB343" s="1317"/>
      <c r="AC343" s="1317"/>
      <c r="AD343" s="1317"/>
      <c r="AE343" s="1317"/>
      <c r="AF343" s="1317"/>
      <c r="AG343" s="1317"/>
      <c r="AH343" s="1317"/>
      <c r="AI343" s="1317"/>
      <c r="AJ343" s="1317"/>
      <c r="AK343" s="1317"/>
      <c r="AL343" s="1317"/>
      <c r="AM343" s="1317"/>
      <c r="AN343" s="1317"/>
      <c r="AO343" s="1317"/>
      <c r="AP343" s="1317"/>
      <c r="AQ343" s="1317"/>
      <c r="AR343" s="1317"/>
      <c r="AS343" s="1317"/>
    </row>
    <row r="344" spans="1:45" s="1316" customFormat="1">
      <c r="S344" s="1308"/>
      <c r="T344" s="1308"/>
      <c r="U344" s="1324"/>
      <c r="V344" s="1317"/>
      <c r="W344" s="1317"/>
      <c r="X344" s="1317"/>
      <c r="Y344" s="1317"/>
      <c r="Z344" s="1317"/>
      <c r="AA344" s="1317"/>
      <c r="AB344" s="1317"/>
      <c r="AC344" s="1317"/>
      <c r="AD344" s="1317"/>
      <c r="AE344" s="1317"/>
      <c r="AF344" s="1317"/>
      <c r="AG344" s="1317"/>
      <c r="AH344" s="1317"/>
      <c r="AI344" s="1317"/>
      <c r="AJ344" s="1317"/>
      <c r="AK344" s="1317"/>
      <c r="AL344" s="1317"/>
      <c r="AM344" s="1317"/>
      <c r="AN344" s="1317"/>
      <c r="AO344" s="1317"/>
      <c r="AP344" s="1317"/>
      <c r="AQ344" s="1317"/>
      <c r="AR344" s="1317"/>
      <c r="AS344" s="1317"/>
    </row>
    <row r="345" spans="1:45" s="1316" customFormat="1">
      <c r="S345" s="1308"/>
      <c r="T345" s="1308"/>
      <c r="U345" s="1324"/>
      <c r="V345" s="1317"/>
      <c r="W345" s="1317"/>
      <c r="X345" s="1317"/>
      <c r="Y345" s="1317"/>
      <c r="Z345" s="1317"/>
      <c r="AA345" s="1317"/>
      <c r="AB345" s="1317"/>
      <c r="AC345" s="1317"/>
      <c r="AD345" s="1317"/>
      <c r="AE345" s="1317"/>
      <c r="AF345" s="1317"/>
      <c r="AG345" s="1317"/>
      <c r="AH345" s="1317"/>
      <c r="AI345" s="1317"/>
      <c r="AJ345" s="1317"/>
      <c r="AK345" s="1317"/>
      <c r="AL345" s="1317"/>
      <c r="AM345" s="1317"/>
      <c r="AN345" s="1317"/>
      <c r="AO345" s="1317"/>
      <c r="AP345" s="1317"/>
      <c r="AQ345" s="1317"/>
      <c r="AR345" s="1317"/>
      <c r="AS345" s="1317"/>
    </row>
    <row r="346" spans="1:45" s="1316" customFormat="1">
      <c r="A346" s="1308"/>
      <c r="S346" s="1308"/>
      <c r="T346" s="1308"/>
      <c r="U346" s="1324"/>
      <c r="V346" s="1317"/>
      <c r="W346" s="1317"/>
      <c r="X346" s="1317"/>
      <c r="Y346" s="1317"/>
      <c r="Z346" s="1317"/>
      <c r="AA346" s="1317"/>
      <c r="AB346" s="1317"/>
      <c r="AC346" s="1317"/>
      <c r="AD346" s="1317"/>
      <c r="AE346" s="1317"/>
      <c r="AF346" s="1317"/>
      <c r="AG346" s="1317"/>
      <c r="AH346" s="1317"/>
      <c r="AI346" s="1317"/>
      <c r="AJ346" s="1317"/>
      <c r="AK346" s="1317"/>
      <c r="AL346" s="1317"/>
      <c r="AM346" s="1317"/>
      <c r="AN346" s="1317"/>
      <c r="AO346" s="1317"/>
      <c r="AP346" s="1317"/>
      <c r="AQ346" s="1317"/>
      <c r="AR346" s="1317"/>
      <c r="AS346" s="1317"/>
    </row>
    <row r="347" spans="1:45" s="1316" customFormat="1">
      <c r="A347" s="1308"/>
      <c r="S347" s="1308"/>
      <c r="T347" s="1308"/>
      <c r="U347" s="1324"/>
      <c r="V347" s="1317"/>
      <c r="W347" s="1317"/>
      <c r="X347" s="1317"/>
      <c r="Y347" s="1317"/>
      <c r="Z347" s="1317"/>
      <c r="AA347" s="1317"/>
      <c r="AB347" s="1317"/>
      <c r="AC347" s="1317"/>
      <c r="AD347" s="1317"/>
      <c r="AE347" s="1317"/>
      <c r="AF347" s="1317"/>
      <c r="AG347" s="1317"/>
      <c r="AH347" s="1317"/>
      <c r="AI347" s="1317"/>
      <c r="AJ347" s="1317"/>
      <c r="AK347" s="1317"/>
      <c r="AL347" s="1317"/>
      <c r="AM347" s="1317"/>
      <c r="AN347" s="1317"/>
      <c r="AO347" s="1317"/>
      <c r="AP347" s="1317"/>
      <c r="AQ347" s="1317"/>
      <c r="AR347" s="1317"/>
      <c r="AS347" s="1317"/>
    </row>
    <row r="348" spans="1:45" s="1316" customFormat="1">
      <c r="A348" s="1308"/>
      <c r="S348" s="1308"/>
      <c r="T348" s="1409"/>
      <c r="U348" s="1324"/>
      <c r="V348" s="1317"/>
      <c r="W348" s="1317"/>
      <c r="X348" s="1317"/>
      <c r="Y348" s="1317"/>
      <c r="Z348" s="1317"/>
      <c r="AA348" s="1317"/>
      <c r="AB348" s="1317"/>
      <c r="AC348" s="1317"/>
      <c r="AD348" s="1317"/>
      <c r="AE348" s="1317"/>
      <c r="AF348" s="1317"/>
      <c r="AG348" s="1317"/>
      <c r="AH348" s="1317"/>
      <c r="AI348" s="1317"/>
      <c r="AJ348" s="1317"/>
      <c r="AK348" s="1317"/>
      <c r="AL348" s="1317"/>
      <c r="AM348" s="1317"/>
      <c r="AN348" s="1317"/>
      <c r="AO348" s="1317"/>
      <c r="AP348" s="1317"/>
      <c r="AQ348" s="1317"/>
      <c r="AR348" s="1317"/>
      <c r="AS348" s="1317"/>
    </row>
    <row r="349" spans="1:45" s="1316" customFormat="1">
      <c r="A349" s="1308"/>
      <c r="S349" s="1308"/>
      <c r="T349" s="1409"/>
      <c r="U349" s="1324"/>
      <c r="V349" s="1317"/>
      <c r="W349" s="1317"/>
      <c r="X349" s="1317"/>
      <c r="Y349" s="1317"/>
      <c r="Z349" s="1317"/>
      <c r="AA349" s="1317"/>
      <c r="AB349" s="1317"/>
      <c r="AC349" s="1317"/>
      <c r="AD349" s="1317"/>
      <c r="AE349" s="1317"/>
      <c r="AF349" s="1317"/>
      <c r="AG349" s="1317"/>
      <c r="AH349" s="1317"/>
      <c r="AI349" s="1317"/>
      <c r="AJ349" s="1317"/>
      <c r="AK349" s="1317"/>
      <c r="AL349" s="1317"/>
      <c r="AM349" s="1317"/>
      <c r="AN349" s="1317"/>
      <c r="AO349" s="1317"/>
      <c r="AP349" s="1317"/>
      <c r="AQ349" s="1317"/>
      <c r="AR349" s="1317"/>
      <c r="AS349" s="1317"/>
    </row>
    <row r="350" spans="1:45" s="1316" customFormat="1">
      <c r="A350" s="1308"/>
      <c r="S350" s="1308"/>
      <c r="T350" s="1308"/>
      <c r="U350" s="1324"/>
      <c r="V350" s="1317"/>
      <c r="W350" s="1317"/>
      <c r="X350" s="1317"/>
      <c r="Y350" s="1317"/>
      <c r="Z350" s="1317"/>
      <c r="AA350" s="1317"/>
      <c r="AB350" s="1317"/>
      <c r="AC350" s="1317"/>
      <c r="AD350" s="1317"/>
      <c r="AE350" s="1317"/>
      <c r="AF350" s="1317"/>
      <c r="AG350" s="1317"/>
      <c r="AH350" s="1317"/>
      <c r="AI350" s="1317"/>
      <c r="AJ350" s="1317"/>
      <c r="AK350" s="1317"/>
      <c r="AL350" s="1317"/>
      <c r="AM350" s="1317"/>
      <c r="AN350" s="1317"/>
      <c r="AO350" s="1317"/>
      <c r="AP350" s="1317"/>
      <c r="AQ350" s="1317"/>
      <c r="AR350" s="1317"/>
      <c r="AS350" s="1317"/>
    </row>
    <row r="351" spans="1:45" s="1316" customFormat="1">
      <c r="A351" s="1308"/>
      <c r="S351" s="1308"/>
      <c r="T351" s="1308"/>
      <c r="U351" s="1324"/>
      <c r="V351" s="1317"/>
      <c r="W351" s="1317"/>
      <c r="X351" s="1317"/>
      <c r="Y351" s="1317"/>
      <c r="Z351" s="1317"/>
      <c r="AA351" s="1317"/>
      <c r="AB351" s="1317"/>
      <c r="AC351" s="1317"/>
      <c r="AD351" s="1317"/>
      <c r="AE351" s="1317"/>
      <c r="AF351" s="1317"/>
      <c r="AG351" s="1317"/>
      <c r="AH351" s="1317"/>
      <c r="AI351" s="1317"/>
      <c r="AJ351" s="1317"/>
      <c r="AK351" s="1317"/>
      <c r="AL351" s="1317"/>
      <c r="AM351" s="1317"/>
      <c r="AN351" s="1317"/>
      <c r="AO351" s="1317"/>
      <c r="AP351" s="1317"/>
      <c r="AQ351" s="1317"/>
      <c r="AR351" s="1317"/>
      <c r="AS351" s="1317"/>
    </row>
    <row r="352" spans="1:45" s="1316" customFormat="1">
      <c r="A352" s="1308"/>
      <c r="S352" s="1308"/>
      <c r="T352" s="1308"/>
      <c r="U352" s="1324"/>
      <c r="V352" s="1317"/>
      <c r="W352" s="1317"/>
      <c r="X352" s="1317"/>
      <c r="Y352" s="1317"/>
      <c r="Z352" s="1317"/>
      <c r="AA352" s="1317"/>
      <c r="AB352" s="1317"/>
      <c r="AC352" s="1317"/>
      <c r="AD352" s="1317"/>
      <c r="AE352" s="1317"/>
      <c r="AF352" s="1317"/>
      <c r="AG352" s="1317"/>
      <c r="AH352" s="1317"/>
      <c r="AI352" s="1317"/>
      <c r="AJ352" s="1317"/>
      <c r="AK352" s="1317"/>
      <c r="AL352" s="1317"/>
      <c r="AM352" s="1317"/>
      <c r="AN352" s="1317"/>
      <c r="AO352" s="1317"/>
      <c r="AP352" s="1317"/>
      <c r="AQ352" s="1317"/>
      <c r="AR352" s="1317"/>
      <c r="AS352" s="1317"/>
    </row>
    <row r="353" spans="1:45" s="1316" customFormat="1">
      <c r="A353" s="1308"/>
      <c r="S353" s="1308"/>
      <c r="T353" s="1308"/>
      <c r="U353" s="1324"/>
      <c r="V353" s="1317"/>
      <c r="W353" s="1317"/>
      <c r="X353" s="1317"/>
      <c r="Y353" s="1317"/>
      <c r="Z353" s="1317"/>
      <c r="AA353" s="1317"/>
      <c r="AB353" s="1317"/>
      <c r="AC353" s="1317"/>
      <c r="AD353" s="1317"/>
      <c r="AE353" s="1317"/>
      <c r="AF353" s="1317"/>
      <c r="AG353" s="1317"/>
      <c r="AH353" s="1317"/>
      <c r="AI353" s="1317"/>
      <c r="AJ353" s="1317"/>
      <c r="AK353" s="1317"/>
      <c r="AL353" s="1317"/>
      <c r="AM353" s="1317"/>
      <c r="AN353" s="1317"/>
      <c r="AO353" s="1317"/>
      <c r="AP353" s="1317"/>
      <c r="AQ353" s="1317"/>
      <c r="AR353" s="1317"/>
      <c r="AS353" s="1317"/>
    </row>
    <row r="354" spans="1:45" s="1316" customFormat="1">
      <c r="A354" s="1308"/>
      <c r="S354" s="1308"/>
      <c r="T354" s="1308"/>
      <c r="U354" s="1324"/>
      <c r="V354" s="1317"/>
      <c r="W354" s="1317"/>
      <c r="X354" s="1317"/>
      <c r="Y354" s="1317"/>
      <c r="Z354" s="1317"/>
      <c r="AA354" s="1317"/>
      <c r="AB354" s="1317"/>
      <c r="AC354" s="1317"/>
      <c r="AD354" s="1317"/>
      <c r="AE354" s="1317"/>
      <c r="AF354" s="1317"/>
      <c r="AG354" s="1317"/>
      <c r="AH354" s="1317"/>
      <c r="AI354" s="1317"/>
      <c r="AJ354" s="1317"/>
      <c r="AK354" s="1317"/>
      <c r="AL354" s="1317"/>
      <c r="AM354" s="1317"/>
      <c r="AN354" s="1317"/>
      <c r="AO354" s="1317"/>
      <c r="AP354" s="1317"/>
      <c r="AQ354" s="1317"/>
      <c r="AR354" s="1317"/>
      <c r="AS354" s="1317"/>
    </row>
    <row r="355" spans="1:45" s="1316" customFormat="1">
      <c r="A355" s="1308"/>
      <c r="S355" s="1308"/>
      <c r="T355" s="1308"/>
      <c r="U355" s="1324"/>
      <c r="V355" s="1317"/>
      <c r="W355" s="1317"/>
      <c r="X355" s="1317"/>
      <c r="Y355" s="1317"/>
      <c r="Z355" s="1317"/>
      <c r="AA355" s="1317"/>
      <c r="AB355" s="1317"/>
      <c r="AC355" s="1317"/>
      <c r="AD355" s="1317"/>
      <c r="AE355" s="1317"/>
      <c r="AF355" s="1317"/>
      <c r="AG355" s="1317"/>
      <c r="AH355" s="1317"/>
      <c r="AI355" s="1317"/>
      <c r="AJ355" s="1317"/>
      <c r="AK355" s="1317"/>
      <c r="AL355" s="1317"/>
      <c r="AM355" s="1317"/>
      <c r="AN355" s="1317"/>
      <c r="AO355" s="1317"/>
      <c r="AP355" s="1317"/>
      <c r="AQ355" s="1317"/>
      <c r="AR355" s="1317"/>
      <c r="AS355" s="1317"/>
    </row>
    <row r="356" spans="1:45" s="1316" customFormat="1">
      <c r="A356" s="1308"/>
      <c r="S356" s="1308"/>
      <c r="T356" s="1308"/>
      <c r="U356" s="1324"/>
      <c r="V356" s="1317"/>
      <c r="W356" s="1317"/>
      <c r="X356" s="1317"/>
      <c r="Y356" s="1317"/>
      <c r="Z356" s="1317"/>
      <c r="AA356" s="1317"/>
      <c r="AB356" s="1317"/>
      <c r="AC356" s="1317"/>
      <c r="AD356" s="1317"/>
      <c r="AE356" s="1317"/>
      <c r="AF356" s="1317"/>
      <c r="AG356" s="1317"/>
      <c r="AH356" s="1317"/>
      <c r="AI356" s="1317"/>
      <c r="AJ356" s="1317"/>
      <c r="AK356" s="1317"/>
      <c r="AL356" s="1317"/>
      <c r="AM356" s="1317"/>
      <c r="AN356" s="1317"/>
      <c r="AO356" s="1317"/>
      <c r="AP356" s="1317"/>
      <c r="AQ356" s="1317"/>
      <c r="AR356" s="1317"/>
      <c r="AS356" s="1317"/>
    </row>
    <row r="357" spans="1:45" s="1316" customFormat="1">
      <c r="A357" s="1308"/>
      <c r="S357" s="1308"/>
      <c r="T357" s="1409"/>
      <c r="U357" s="1324"/>
      <c r="V357" s="1317"/>
      <c r="W357" s="1317"/>
      <c r="X357" s="1317"/>
      <c r="Y357" s="1317"/>
      <c r="Z357" s="1317"/>
      <c r="AA357" s="1317"/>
      <c r="AB357" s="1317"/>
      <c r="AC357" s="1317"/>
      <c r="AD357" s="1317"/>
      <c r="AE357" s="1317"/>
      <c r="AF357" s="1317"/>
      <c r="AG357" s="1317"/>
      <c r="AH357" s="1317"/>
      <c r="AI357" s="1317"/>
      <c r="AJ357" s="1317"/>
      <c r="AK357" s="1317"/>
      <c r="AL357" s="1317"/>
      <c r="AM357" s="1317"/>
      <c r="AN357" s="1317"/>
      <c r="AO357" s="1317"/>
      <c r="AP357" s="1317"/>
      <c r="AQ357" s="1317"/>
      <c r="AR357" s="1317"/>
      <c r="AS357" s="1317"/>
    </row>
    <row r="358" spans="1:45" s="1316" customFormat="1">
      <c r="A358" s="1308"/>
      <c r="S358" s="1308"/>
      <c r="T358" s="1409"/>
      <c r="U358" s="1324"/>
      <c r="V358" s="1317"/>
      <c r="W358" s="1317"/>
      <c r="X358" s="1317"/>
      <c r="Y358" s="1317"/>
      <c r="Z358" s="1317"/>
      <c r="AA358" s="1317"/>
      <c r="AB358" s="1317"/>
      <c r="AC358" s="1317"/>
      <c r="AD358" s="1317"/>
      <c r="AE358" s="1317"/>
      <c r="AF358" s="1317"/>
      <c r="AG358" s="1317"/>
      <c r="AH358" s="1317"/>
      <c r="AI358" s="1317"/>
      <c r="AJ358" s="1317"/>
      <c r="AK358" s="1317"/>
      <c r="AL358" s="1317"/>
      <c r="AM358" s="1317"/>
      <c r="AN358" s="1317"/>
      <c r="AO358" s="1317"/>
      <c r="AP358" s="1317"/>
      <c r="AQ358" s="1317"/>
      <c r="AR358" s="1317"/>
      <c r="AS358" s="1317"/>
    </row>
    <row r="359" spans="1:45" s="1316" customFormat="1">
      <c r="A359" s="1308"/>
      <c r="S359" s="1308"/>
      <c r="T359" s="1308"/>
      <c r="U359" s="1324"/>
      <c r="V359" s="1317"/>
      <c r="W359" s="1317"/>
      <c r="X359" s="1317"/>
      <c r="Y359" s="1317"/>
      <c r="Z359" s="1317"/>
      <c r="AA359" s="1317"/>
      <c r="AB359" s="1317"/>
      <c r="AC359" s="1317"/>
      <c r="AD359" s="1317"/>
      <c r="AE359" s="1317"/>
      <c r="AF359" s="1317"/>
      <c r="AG359" s="1317"/>
      <c r="AH359" s="1317"/>
      <c r="AI359" s="1317"/>
      <c r="AJ359" s="1317"/>
      <c r="AK359" s="1317"/>
      <c r="AL359" s="1317"/>
      <c r="AM359" s="1317"/>
      <c r="AN359" s="1317"/>
      <c r="AO359" s="1317"/>
      <c r="AP359" s="1317"/>
      <c r="AQ359" s="1317"/>
      <c r="AR359" s="1317"/>
      <c r="AS359" s="1317"/>
    </row>
    <row r="360" spans="1:45" s="1316" customFormat="1">
      <c r="A360" s="1308"/>
      <c r="S360" s="1308"/>
      <c r="T360" s="1308"/>
      <c r="U360" s="1324"/>
      <c r="V360" s="1317"/>
      <c r="W360" s="1317"/>
      <c r="X360" s="1317"/>
      <c r="Y360" s="1317"/>
      <c r="Z360" s="1317"/>
      <c r="AA360" s="1317"/>
      <c r="AB360" s="1317"/>
      <c r="AC360" s="1317"/>
      <c r="AD360" s="1317"/>
      <c r="AE360" s="1317"/>
      <c r="AF360" s="1317"/>
      <c r="AG360" s="1317"/>
      <c r="AH360" s="1317"/>
      <c r="AI360" s="1317"/>
      <c r="AJ360" s="1317"/>
      <c r="AK360" s="1317"/>
      <c r="AL360" s="1317"/>
      <c r="AM360" s="1317"/>
      <c r="AN360" s="1317"/>
      <c r="AO360" s="1317"/>
      <c r="AP360" s="1317"/>
      <c r="AQ360" s="1317"/>
      <c r="AR360" s="1317"/>
      <c r="AS360" s="1317"/>
    </row>
    <row r="361" spans="1:45" s="1316" customFormat="1">
      <c r="A361" s="1308"/>
      <c r="S361" s="1308"/>
      <c r="T361" s="1308"/>
      <c r="U361" s="1324"/>
      <c r="V361" s="1317"/>
      <c r="W361" s="1317"/>
      <c r="X361" s="1317"/>
      <c r="Y361" s="1317"/>
      <c r="Z361" s="1317"/>
      <c r="AA361" s="1317"/>
      <c r="AB361" s="1317"/>
      <c r="AC361" s="1317"/>
      <c r="AD361" s="1317"/>
      <c r="AE361" s="1317"/>
      <c r="AF361" s="1317"/>
      <c r="AG361" s="1317"/>
      <c r="AH361" s="1317"/>
      <c r="AI361" s="1317"/>
      <c r="AJ361" s="1317"/>
      <c r="AK361" s="1317"/>
      <c r="AL361" s="1317"/>
      <c r="AM361" s="1317"/>
      <c r="AN361" s="1317"/>
      <c r="AO361" s="1317"/>
      <c r="AP361" s="1317"/>
      <c r="AQ361" s="1317"/>
      <c r="AR361" s="1317"/>
      <c r="AS361" s="1317"/>
    </row>
    <row r="362" spans="1:45" s="1316" customFormat="1">
      <c r="A362" s="1308"/>
      <c r="S362" s="1308"/>
      <c r="T362" s="1308"/>
      <c r="U362" s="1324"/>
      <c r="V362" s="1317"/>
      <c r="W362" s="1317"/>
      <c r="X362" s="1317"/>
      <c r="Y362" s="1317"/>
      <c r="Z362" s="1317"/>
      <c r="AA362" s="1317"/>
      <c r="AB362" s="1317"/>
      <c r="AC362" s="1317"/>
      <c r="AD362" s="1317"/>
      <c r="AE362" s="1317"/>
      <c r="AF362" s="1317"/>
      <c r="AG362" s="1317"/>
      <c r="AH362" s="1317"/>
      <c r="AI362" s="1317"/>
      <c r="AJ362" s="1317"/>
      <c r="AK362" s="1317"/>
      <c r="AL362" s="1317"/>
      <c r="AM362" s="1317"/>
      <c r="AN362" s="1317"/>
      <c r="AO362" s="1317"/>
      <c r="AP362" s="1317"/>
      <c r="AQ362" s="1317"/>
      <c r="AR362" s="1317"/>
      <c r="AS362" s="1317"/>
    </row>
    <row r="363" spans="1:45" s="1316" customFormat="1">
      <c r="A363" s="1308"/>
      <c r="S363" s="1308"/>
      <c r="T363" s="1308"/>
      <c r="U363" s="1324"/>
      <c r="V363" s="1317"/>
      <c r="W363" s="1317"/>
      <c r="X363" s="1317"/>
      <c r="Y363" s="1317"/>
      <c r="Z363" s="1317"/>
      <c r="AA363" s="1317"/>
      <c r="AB363" s="1317"/>
      <c r="AC363" s="1317"/>
      <c r="AD363" s="1317"/>
      <c r="AE363" s="1317"/>
      <c r="AF363" s="1317"/>
      <c r="AG363" s="1317"/>
      <c r="AH363" s="1317"/>
      <c r="AI363" s="1317"/>
      <c r="AJ363" s="1317"/>
      <c r="AK363" s="1317"/>
      <c r="AL363" s="1317"/>
      <c r="AM363" s="1317"/>
      <c r="AN363" s="1317"/>
      <c r="AO363" s="1317"/>
      <c r="AP363" s="1317"/>
      <c r="AQ363" s="1317"/>
      <c r="AR363" s="1317"/>
      <c r="AS363" s="1317"/>
    </row>
    <row r="364" spans="1:45" s="1316" customFormat="1">
      <c r="A364" s="1308"/>
      <c r="S364" s="1308"/>
      <c r="T364" s="1308"/>
      <c r="U364" s="1324"/>
      <c r="V364" s="1317"/>
      <c r="W364" s="1317"/>
      <c r="X364" s="1317"/>
      <c r="Y364" s="1317"/>
      <c r="Z364" s="1317"/>
      <c r="AA364" s="1317"/>
      <c r="AB364" s="1317"/>
      <c r="AC364" s="1317"/>
      <c r="AD364" s="1317"/>
      <c r="AE364" s="1317"/>
      <c r="AF364" s="1317"/>
      <c r="AG364" s="1317"/>
      <c r="AH364" s="1317"/>
      <c r="AI364" s="1317"/>
      <c r="AJ364" s="1317"/>
      <c r="AK364" s="1317"/>
      <c r="AL364" s="1317"/>
      <c r="AM364" s="1317"/>
      <c r="AN364" s="1317"/>
      <c r="AO364" s="1317"/>
      <c r="AP364" s="1317"/>
      <c r="AQ364" s="1317"/>
      <c r="AR364" s="1317"/>
      <c r="AS364" s="1317"/>
    </row>
    <row r="365" spans="1:45" s="1316" customFormat="1">
      <c r="A365" s="1308"/>
      <c r="S365" s="1308"/>
      <c r="T365" s="1308"/>
      <c r="U365" s="1324"/>
      <c r="V365" s="1317"/>
      <c r="W365" s="1317"/>
      <c r="X365" s="1317"/>
      <c r="Y365" s="1317"/>
      <c r="Z365" s="1317"/>
      <c r="AA365" s="1317"/>
      <c r="AB365" s="1317"/>
      <c r="AC365" s="1317"/>
      <c r="AD365" s="1317"/>
      <c r="AE365" s="1317"/>
      <c r="AF365" s="1317"/>
      <c r="AG365" s="1317"/>
      <c r="AH365" s="1317"/>
      <c r="AI365" s="1317"/>
      <c r="AJ365" s="1317"/>
      <c r="AK365" s="1317"/>
      <c r="AL365" s="1317"/>
      <c r="AM365" s="1317"/>
      <c r="AN365" s="1317"/>
      <c r="AO365" s="1317"/>
      <c r="AP365" s="1317"/>
      <c r="AQ365" s="1317"/>
      <c r="AR365" s="1317"/>
      <c r="AS365" s="1317"/>
    </row>
    <row r="366" spans="1:45" s="1316" customFormat="1">
      <c r="A366" s="1308"/>
      <c r="S366" s="1308"/>
      <c r="T366" s="1409"/>
      <c r="U366" s="1324"/>
      <c r="V366" s="1317"/>
      <c r="W366" s="1317"/>
      <c r="X366" s="1317"/>
      <c r="Y366" s="1317"/>
      <c r="Z366" s="1317"/>
      <c r="AA366" s="1317"/>
      <c r="AB366" s="1317"/>
      <c r="AC366" s="1317"/>
      <c r="AD366" s="1317"/>
      <c r="AE366" s="1317"/>
      <c r="AF366" s="1317"/>
      <c r="AG366" s="1317"/>
      <c r="AH366" s="1317"/>
      <c r="AI366" s="1317"/>
      <c r="AJ366" s="1317"/>
      <c r="AK366" s="1317"/>
      <c r="AL366" s="1317"/>
      <c r="AM366" s="1317"/>
      <c r="AN366" s="1317"/>
      <c r="AO366" s="1317"/>
      <c r="AP366" s="1317"/>
      <c r="AQ366" s="1317"/>
      <c r="AR366" s="1317"/>
      <c r="AS366" s="1317"/>
    </row>
    <row r="367" spans="1:45" s="1316" customFormat="1">
      <c r="A367" s="1308"/>
      <c r="S367" s="1308"/>
      <c r="T367" s="1409"/>
      <c r="U367" s="1324"/>
      <c r="V367" s="1317"/>
      <c r="W367" s="1317"/>
      <c r="X367" s="1317"/>
      <c r="Y367" s="1317"/>
      <c r="Z367" s="1317"/>
      <c r="AA367" s="1317"/>
      <c r="AB367" s="1317"/>
      <c r="AC367" s="1317"/>
      <c r="AD367" s="1317"/>
      <c r="AE367" s="1317"/>
      <c r="AF367" s="1317"/>
      <c r="AG367" s="1317"/>
      <c r="AH367" s="1317"/>
      <c r="AI367" s="1317"/>
      <c r="AJ367" s="1317"/>
      <c r="AK367" s="1317"/>
      <c r="AL367" s="1317"/>
      <c r="AM367" s="1317"/>
      <c r="AN367" s="1317"/>
      <c r="AO367" s="1317"/>
      <c r="AP367" s="1317"/>
      <c r="AQ367" s="1317"/>
      <c r="AR367" s="1317"/>
      <c r="AS367" s="1317"/>
    </row>
    <row r="368" spans="1:45" s="1316" customFormat="1">
      <c r="A368" s="1308"/>
      <c r="S368" s="1308"/>
      <c r="T368" s="1308"/>
      <c r="U368" s="1324"/>
      <c r="V368" s="1317"/>
      <c r="W368" s="1317"/>
      <c r="X368" s="1317"/>
      <c r="Y368" s="1317"/>
      <c r="Z368" s="1317"/>
      <c r="AA368" s="1317"/>
      <c r="AB368" s="1317"/>
      <c r="AC368" s="1317"/>
      <c r="AD368" s="1317"/>
      <c r="AE368" s="1317"/>
      <c r="AF368" s="1317"/>
      <c r="AG368" s="1317"/>
      <c r="AH368" s="1317"/>
      <c r="AI368" s="1317"/>
      <c r="AJ368" s="1317"/>
      <c r="AK368" s="1317"/>
      <c r="AL368" s="1317"/>
      <c r="AM368" s="1317"/>
      <c r="AN368" s="1317"/>
      <c r="AO368" s="1317"/>
      <c r="AP368" s="1317"/>
      <c r="AQ368" s="1317"/>
      <c r="AR368" s="1317"/>
      <c r="AS368" s="1317"/>
    </row>
    <row r="369" spans="1:45" s="1316" customFormat="1">
      <c r="A369" s="1308"/>
      <c r="S369" s="1308"/>
      <c r="T369" s="1308"/>
      <c r="U369" s="1324"/>
      <c r="V369" s="1317"/>
      <c r="W369" s="1317"/>
      <c r="X369" s="1317"/>
      <c r="Y369" s="1317"/>
      <c r="Z369" s="1317"/>
      <c r="AA369" s="1317"/>
      <c r="AB369" s="1317"/>
      <c r="AC369" s="1317"/>
      <c r="AD369" s="1317"/>
      <c r="AE369" s="1317"/>
      <c r="AF369" s="1317"/>
      <c r="AG369" s="1317"/>
      <c r="AH369" s="1317"/>
      <c r="AI369" s="1317"/>
      <c r="AJ369" s="1317"/>
      <c r="AK369" s="1317"/>
      <c r="AL369" s="1317"/>
      <c r="AM369" s="1317"/>
      <c r="AN369" s="1317"/>
      <c r="AO369" s="1317"/>
      <c r="AP369" s="1317"/>
      <c r="AQ369" s="1317"/>
      <c r="AR369" s="1317"/>
      <c r="AS369" s="1317"/>
    </row>
    <row r="370" spans="1:45" s="1316" customFormat="1">
      <c r="A370" s="1308"/>
      <c r="S370" s="1308"/>
      <c r="T370" s="1308"/>
      <c r="U370" s="1324"/>
      <c r="V370" s="1317"/>
      <c r="W370" s="1317"/>
      <c r="X370" s="1317"/>
      <c r="Y370" s="1317"/>
      <c r="Z370" s="1317"/>
      <c r="AA370" s="1317"/>
      <c r="AB370" s="1317"/>
      <c r="AC370" s="1317"/>
      <c r="AD370" s="1317"/>
      <c r="AE370" s="1317"/>
      <c r="AF370" s="1317"/>
      <c r="AG370" s="1317"/>
      <c r="AH370" s="1317"/>
      <c r="AI370" s="1317"/>
      <c r="AJ370" s="1317"/>
      <c r="AK370" s="1317"/>
      <c r="AL370" s="1317"/>
      <c r="AM370" s="1317"/>
      <c r="AN370" s="1317"/>
      <c r="AO370" s="1317"/>
      <c r="AP370" s="1317"/>
      <c r="AQ370" s="1317"/>
      <c r="AR370" s="1317"/>
      <c r="AS370" s="1317"/>
    </row>
    <row r="371" spans="1:45" s="1316" customFormat="1">
      <c r="A371" s="1308"/>
      <c r="S371" s="1308"/>
      <c r="T371" s="1308"/>
      <c r="U371" s="1324"/>
      <c r="V371" s="1317"/>
      <c r="W371" s="1317"/>
      <c r="X371" s="1317"/>
      <c r="Y371" s="1317"/>
      <c r="Z371" s="1317"/>
      <c r="AA371" s="1317"/>
      <c r="AB371" s="1317"/>
      <c r="AC371" s="1317"/>
      <c r="AD371" s="1317"/>
      <c r="AE371" s="1317"/>
      <c r="AF371" s="1317"/>
      <c r="AG371" s="1317"/>
      <c r="AH371" s="1317"/>
      <c r="AI371" s="1317"/>
      <c r="AJ371" s="1317"/>
      <c r="AK371" s="1317"/>
      <c r="AL371" s="1317"/>
      <c r="AM371" s="1317"/>
      <c r="AN371" s="1317"/>
      <c r="AO371" s="1317"/>
      <c r="AP371" s="1317"/>
      <c r="AQ371" s="1317"/>
      <c r="AR371" s="1317"/>
      <c r="AS371" s="1317"/>
    </row>
    <row r="372" spans="1:45" s="1316" customFormat="1">
      <c r="A372" s="1308"/>
      <c r="S372" s="1308"/>
      <c r="T372" s="1308"/>
      <c r="U372" s="1324"/>
      <c r="V372" s="1317"/>
      <c r="W372" s="1317"/>
      <c r="X372" s="1317"/>
      <c r="Y372" s="1317"/>
      <c r="Z372" s="1317"/>
      <c r="AA372" s="1317"/>
      <c r="AB372" s="1317"/>
      <c r="AC372" s="1317"/>
      <c r="AD372" s="1317"/>
      <c r="AE372" s="1317"/>
      <c r="AF372" s="1317"/>
      <c r="AG372" s="1317"/>
      <c r="AH372" s="1317"/>
      <c r="AI372" s="1317"/>
      <c r="AJ372" s="1317"/>
      <c r="AK372" s="1317"/>
      <c r="AL372" s="1317"/>
      <c r="AM372" s="1317"/>
      <c r="AN372" s="1317"/>
      <c r="AO372" s="1317"/>
      <c r="AP372" s="1317"/>
      <c r="AQ372" s="1317"/>
      <c r="AR372" s="1317"/>
      <c r="AS372" s="1317"/>
    </row>
    <row r="373" spans="1:45" s="1316" customFormat="1">
      <c r="A373" s="1308"/>
      <c r="S373" s="1308"/>
      <c r="T373" s="1308"/>
      <c r="U373" s="1324"/>
      <c r="V373" s="1317"/>
      <c r="W373" s="1317"/>
      <c r="X373" s="1317"/>
      <c r="Y373" s="1317"/>
      <c r="Z373" s="1317"/>
      <c r="AA373" s="1317"/>
      <c r="AB373" s="1317"/>
      <c r="AC373" s="1317"/>
      <c r="AD373" s="1317"/>
      <c r="AE373" s="1317"/>
      <c r="AF373" s="1317"/>
      <c r="AG373" s="1317"/>
      <c r="AH373" s="1317"/>
      <c r="AI373" s="1317"/>
      <c r="AJ373" s="1317"/>
      <c r="AK373" s="1317"/>
      <c r="AL373" s="1317"/>
      <c r="AM373" s="1317"/>
      <c r="AN373" s="1317"/>
      <c r="AO373" s="1317"/>
      <c r="AP373" s="1317"/>
      <c r="AQ373" s="1317"/>
      <c r="AR373" s="1317"/>
      <c r="AS373" s="1317"/>
    </row>
    <row r="374" spans="1:45" s="1316" customFormat="1">
      <c r="A374" s="1308"/>
      <c r="S374" s="1308"/>
      <c r="T374" s="1308"/>
      <c r="U374" s="1324"/>
      <c r="V374" s="1317"/>
      <c r="W374" s="1317"/>
      <c r="X374" s="1317"/>
      <c r="Y374" s="1317"/>
      <c r="Z374" s="1317"/>
      <c r="AA374" s="1317"/>
      <c r="AB374" s="1317"/>
      <c r="AC374" s="1317"/>
      <c r="AD374" s="1317"/>
      <c r="AE374" s="1317"/>
      <c r="AF374" s="1317"/>
      <c r="AG374" s="1317"/>
      <c r="AH374" s="1317"/>
      <c r="AI374" s="1317"/>
      <c r="AJ374" s="1317"/>
      <c r="AK374" s="1317"/>
      <c r="AL374" s="1317"/>
      <c r="AM374" s="1317"/>
      <c r="AN374" s="1317"/>
      <c r="AO374" s="1317"/>
      <c r="AP374" s="1317"/>
      <c r="AQ374" s="1317"/>
      <c r="AR374" s="1317"/>
      <c r="AS374" s="1317"/>
    </row>
    <row r="375" spans="1:45" s="1316" customFormat="1">
      <c r="A375" s="1308"/>
      <c r="S375" s="1308"/>
      <c r="T375" s="1409"/>
      <c r="U375" s="1324"/>
      <c r="V375" s="1317"/>
      <c r="W375" s="1317"/>
      <c r="X375" s="1317"/>
      <c r="Y375" s="1317"/>
      <c r="Z375" s="1317"/>
      <c r="AA375" s="1317"/>
      <c r="AB375" s="1317"/>
      <c r="AC375" s="1317"/>
      <c r="AD375" s="1317"/>
      <c r="AE375" s="1317"/>
      <c r="AF375" s="1317"/>
      <c r="AG375" s="1317"/>
      <c r="AH375" s="1317"/>
      <c r="AI375" s="1317"/>
      <c r="AJ375" s="1317"/>
      <c r="AK375" s="1317"/>
      <c r="AL375" s="1317"/>
      <c r="AM375" s="1317"/>
      <c r="AN375" s="1317"/>
      <c r="AO375" s="1317"/>
      <c r="AP375" s="1317"/>
      <c r="AQ375" s="1317"/>
      <c r="AR375" s="1317"/>
      <c r="AS375" s="1317"/>
    </row>
    <row r="376" spans="1:45" s="1316" customFormat="1">
      <c r="A376" s="1308"/>
      <c r="S376" s="1308"/>
      <c r="T376" s="1409"/>
      <c r="U376" s="1324"/>
      <c r="V376" s="1317"/>
      <c r="W376" s="1317"/>
      <c r="X376" s="1317"/>
      <c r="Y376" s="1317"/>
      <c r="Z376" s="1317"/>
      <c r="AA376" s="1317"/>
      <c r="AB376" s="1317"/>
      <c r="AC376" s="1317"/>
      <c r="AD376" s="1317"/>
      <c r="AE376" s="1317"/>
      <c r="AF376" s="1317"/>
      <c r="AG376" s="1317"/>
      <c r="AH376" s="1317"/>
      <c r="AI376" s="1317"/>
      <c r="AJ376" s="1317"/>
      <c r="AK376" s="1317"/>
      <c r="AL376" s="1317"/>
      <c r="AM376" s="1317"/>
      <c r="AN376" s="1317"/>
      <c r="AO376" s="1317"/>
      <c r="AP376" s="1317"/>
      <c r="AQ376" s="1317"/>
      <c r="AR376" s="1317"/>
      <c r="AS376" s="1317"/>
    </row>
    <row r="377" spans="1:45" s="1316" customFormat="1">
      <c r="A377" s="1308"/>
      <c r="S377" s="1308"/>
      <c r="T377" s="1308"/>
      <c r="U377" s="1324"/>
      <c r="V377" s="1317"/>
      <c r="W377" s="1317"/>
      <c r="X377" s="1317"/>
      <c r="Y377" s="1317"/>
      <c r="Z377" s="1317"/>
      <c r="AA377" s="1317"/>
      <c r="AB377" s="1317"/>
      <c r="AC377" s="1317"/>
      <c r="AD377" s="1317"/>
      <c r="AE377" s="1317"/>
      <c r="AF377" s="1317"/>
      <c r="AG377" s="1317"/>
      <c r="AH377" s="1317"/>
      <c r="AI377" s="1317"/>
      <c r="AJ377" s="1317"/>
      <c r="AK377" s="1317"/>
      <c r="AL377" s="1317"/>
      <c r="AM377" s="1317"/>
      <c r="AN377" s="1317"/>
      <c r="AO377" s="1317"/>
      <c r="AP377" s="1317"/>
      <c r="AQ377" s="1317"/>
      <c r="AR377" s="1317"/>
      <c r="AS377" s="1317"/>
    </row>
    <row r="378" spans="1:45" s="1316" customFormat="1">
      <c r="A378" s="1308"/>
      <c r="S378" s="1308"/>
      <c r="T378" s="1308"/>
      <c r="U378" s="1324"/>
      <c r="V378" s="1317"/>
      <c r="W378" s="1317"/>
      <c r="X378" s="1317"/>
      <c r="Y378" s="1317"/>
      <c r="Z378" s="1317"/>
      <c r="AA378" s="1317"/>
      <c r="AB378" s="1317"/>
      <c r="AC378" s="1317"/>
      <c r="AD378" s="1317"/>
      <c r="AE378" s="1317"/>
      <c r="AF378" s="1317"/>
      <c r="AG378" s="1317"/>
      <c r="AH378" s="1317"/>
      <c r="AI378" s="1317"/>
      <c r="AJ378" s="1317"/>
      <c r="AK378" s="1317"/>
      <c r="AL378" s="1317"/>
      <c r="AM378" s="1317"/>
      <c r="AN378" s="1317"/>
      <c r="AO378" s="1317"/>
      <c r="AP378" s="1317"/>
      <c r="AQ378" s="1317"/>
      <c r="AR378" s="1317"/>
      <c r="AS378" s="1317"/>
    </row>
    <row r="379" spans="1:45" s="1316" customFormat="1">
      <c r="A379" s="1308"/>
      <c r="S379" s="1308"/>
      <c r="T379" s="1308"/>
      <c r="U379" s="1324"/>
      <c r="V379" s="1317"/>
      <c r="W379" s="1317"/>
      <c r="X379" s="1317"/>
      <c r="Y379" s="1317"/>
      <c r="Z379" s="1317"/>
      <c r="AA379" s="1317"/>
      <c r="AB379" s="1317"/>
      <c r="AC379" s="1317"/>
      <c r="AD379" s="1317"/>
      <c r="AE379" s="1317"/>
      <c r="AF379" s="1317"/>
      <c r="AG379" s="1317"/>
      <c r="AH379" s="1317"/>
      <c r="AI379" s="1317"/>
      <c r="AJ379" s="1317"/>
      <c r="AK379" s="1317"/>
      <c r="AL379" s="1317"/>
      <c r="AM379" s="1317"/>
      <c r="AN379" s="1317"/>
      <c r="AO379" s="1317"/>
      <c r="AP379" s="1317"/>
      <c r="AQ379" s="1317"/>
      <c r="AR379" s="1317"/>
      <c r="AS379" s="1317"/>
    </row>
    <row r="380" spans="1:45" s="1316" customFormat="1">
      <c r="A380" s="1308"/>
      <c r="S380" s="1308"/>
      <c r="T380" s="1308"/>
      <c r="U380" s="1324"/>
      <c r="V380" s="1317"/>
      <c r="W380" s="1317"/>
      <c r="X380" s="1317"/>
      <c r="Y380" s="1317"/>
      <c r="Z380" s="1317"/>
      <c r="AA380" s="1317"/>
      <c r="AB380" s="1317"/>
      <c r="AC380" s="1317"/>
      <c r="AD380" s="1317"/>
      <c r="AE380" s="1317"/>
      <c r="AF380" s="1317"/>
      <c r="AG380" s="1317"/>
      <c r="AH380" s="1317"/>
      <c r="AI380" s="1317"/>
      <c r="AJ380" s="1317"/>
      <c r="AK380" s="1317"/>
      <c r="AL380" s="1317"/>
      <c r="AM380" s="1317"/>
      <c r="AN380" s="1317"/>
      <c r="AO380" s="1317"/>
      <c r="AP380" s="1317"/>
      <c r="AQ380" s="1317"/>
      <c r="AR380" s="1317"/>
      <c r="AS380" s="1317"/>
    </row>
    <row r="381" spans="1:45" s="1316" customFormat="1">
      <c r="A381" s="1308"/>
      <c r="S381" s="1308"/>
      <c r="T381" s="1308"/>
      <c r="U381" s="1324"/>
      <c r="V381" s="1317"/>
      <c r="W381" s="1317"/>
      <c r="X381" s="1317"/>
      <c r="Y381" s="1317"/>
      <c r="Z381" s="1317"/>
      <c r="AA381" s="1317"/>
      <c r="AB381" s="1317"/>
      <c r="AC381" s="1317"/>
      <c r="AD381" s="1317"/>
      <c r="AE381" s="1317"/>
      <c r="AF381" s="1317"/>
      <c r="AG381" s="1317"/>
      <c r="AH381" s="1317"/>
      <c r="AI381" s="1317"/>
      <c r="AJ381" s="1317"/>
      <c r="AK381" s="1317"/>
      <c r="AL381" s="1317"/>
      <c r="AM381" s="1317"/>
      <c r="AN381" s="1317"/>
      <c r="AO381" s="1317"/>
      <c r="AP381" s="1317"/>
      <c r="AQ381" s="1317"/>
      <c r="AR381" s="1317"/>
      <c r="AS381" s="1317"/>
    </row>
    <row r="382" spans="1:45" s="1316" customFormat="1">
      <c r="A382" s="1308"/>
      <c r="S382" s="1308"/>
      <c r="T382" s="1308"/>
      <c r="U382" s="1324"/>
      <c r="V382" s="1317"/>
      <c r="W382" s="1317"/>
      <c r="X382" s="1317"/>
      <c r="Y382" s="1317"/>
      <c r="Z382" s="1317"/>
      <c r="AA382" s="1317"/>
      <c r="AB382" s="1317"/>
      <c r="AC382" s="1317"/>
      <c r="AD382" s="1317"/>
      <c r="AE382" s="1317"/>
      <c r="AF382" s="1317"/>
      <c r="AG382" s="1317"/>
      <c r="AH382" s="1317"/>
      <c r="AI382" s="1317"/>
      <c r="AJ382" s="1317"/>
      <c r="AK382" s="1317"/>
      <c r="AL382" s="1317"/>
      <c r="AM382" s="1317"/>
      <c r="AN382" s="1317"/>
      <c r="AO382" s="1317"/>
      <c r="AP382" s="1317"/>
      <c r="AQ382" s="1317"/>
      <c r="AR382" s="1317"/>
      <c r="AS382" s="1317"/>
    </row>
    <row r="383" spans="1:45" s="1316" customFormat="1">
      <c r="A383" s="1308"/>
      <c r="S383" s="1308"/>
      <c r="T383" s="1308"/>
      <c r="U383" s="1324"/>
      <c r="V383" s="1317"/>
      <c r="W383" s="1317"/>
      <c r="X383" s="1317"/>
      <c r="Y383" s="1317"/>
      <c r="Z383" s="1317"/>
      <c r="AA383" s="1317"/>
      <c r="AB383" s="1317"/>
      <c r="AC383" s="1317"/>
      <c r="AD383" s="1317"/>
      <c r="AE383" s="1317"/>
      <c r="AF383" s="1317"/>
      <c r="AG383" s="1317"/>
      <c r="AH383" s="1317"/>
      <c r="AI383" s="1317"/>
      <c r="AJ383" s="1317"/>
      <c r="AK383" s="1317"/>
      <c r="AL383" s="1317"/>
      <c r="AM383" s="1317"/>
      <c r="AN383" s="1317"/>
      <c r="AO383" s="1317"/>
      <c r="AP383" s="1317"/>
      <c r="AQ383" s="1317"/>
      <c r="AR383" s="1317"/>
      <c r="AS383" s="1317"/>
    </row>
    <row r="384" spans="1:45" s="1316" customFormat="1">
      <c r="A384" s="1308"/>
      <c r="S384" s="1308"/>
      <c r="T384" s="1409"/>
      <c r="U384" s="1324"/>
      <c r="V384" s="1317"/>
      <c r="W384" s="1317"/>
      <c r="X384" s="1317"/>
      <c r="Y384" s="1317"/>
      <c r="Z384" s="1317"/>
      <c r="AA384" s="1317"/>
      <c r="AB384" s="1317"/>
      <c r="AC384" s="1317"/>
      <c r="AD384" s="1317"/>
      <c r="AE384" s="1317"/>
      <c r="AF384" s="1317"/>
      <c r="AG384" s="1317"/>
      <c r="AH384" s="1317"/>
      <c r="AI384" s="1317"/>
      <c r="AJ384" s="1317"/>
      <c r="AK384" s="1317"/>
      <c r="AL384" s="1317"/>
      <c r="AM384" s="1317"/>
      <c r="AN384" s="1317"/>
      <c r="AO384" s="1317"/>
      <c r="AP384" s="1317"/>
      <c r="AQ384" s="1317"/>
      <c r="AR384" s="1317"/>
      <c r="AS384" s="1317"/>
    </row>
    <row r="385" spans="1:45" s="1316" customFormat="1">
      <c r="A385" s="1308"/>
      <c r="S385" s="1308"/>
      <c r="T385" s="1409"/>
      <c r="U385" s="1324"/>
      <c r="V385" s="1317"/>
      <c r="W385" s="1317"/>
      <c r="X385" s="1317"/>
      <c r="Y385" s="1317"/>
      <c r="Z385" s="1317"/>
      <c r="AA385" s="1317"/>
      <c r="AB385" s="1317"/>
      <c r="AC385" s="1317"/>
      <c r="AD385" s="1317"/>
      <c r="AE385" s="1317"/>
      <c r="AF385" s="1317"/>
      <c r="AG385" s="1317"/>
      <c r="AH385" s="1317"/>
      <c r="AI385" s="1317"/>
      <c r="AJ385" s="1317"/>
      <c r="AK385" s="1317"/>
      <c r="AL385" s="1317"/>
      <c r="AM385" s="1317"/>
      <c r="AN385" s="1317"/>
      <c r="AO385" s="1317"/>
      <c r="AP385" s="1317"/>
      <c r="AQ385" s="1317"/>
      <c r="AR385" s="1317"/>
      <c r="AS385" s="1317"/>
    </row>
    <row r="386" spans="1:45" s="1316" customFormat="1">
      <c r="A386" s="1308"/>
      <c r="S386" s="1308"/>
      <c r="T386" s="1308"/>
      <c r="U386" s="1324"/>
      <c r="V386" s="1317"/>
      <c r="W386" s="1317"/>
      <c r="X386" s="1317"/>
      <c r="Y386" s="1317"/>
      <c r="Z386" s="1317"/>
      <c r="AA386" s="1317"/>
      <c r="AB386" s="1317"/>
      <c r="AC386" s="1317"/>
      <c r="AD386" s="1317"/>
      <c r="AE386" s="1317"/>
      <c r="AF386" s="1317"/>
      <c r="AG386" s="1317"/>
      <c r="AH386" s="1317"/>
      <c r="AI386" s="1317"/>
      <c r="AJ386" s="1317"/>
      <c r="AK386" s="1317"/>
      <c r="AL386" s="1317"/>
      <c r="AM386" s="1317"/>
      <c r="AN386" s="1317"/>
      <c r="AO386" s="1317"/>
      <c r="AP386" s="1317"/>
      <c r="AQ386" s="1317"/>
      <c r="AR386" s="1317"/>
      <c r="AS386" s="1317"/>
    </row>
    <row r="387" spans="1:45" s="1316" customFormat="1">
      <c r="A387" s="1308"/>
      <c r="S387" s="1308"/>
      <c r="T387" s="1308"/>
      <c r="U387" s="1324"/>
      <c r="V387" s="1317"/>
      <c r="W387" s="1317"/>
      <c r="X387" s="1317"/>
      <c r="Y387" s="1317"/>
      <c r="Z387" s="1317"/>
      <c r="AA387" s="1317"/>
      <c r="AB387" s="1317"/>
      <c r="AC387" s="1317"/>
      <c r="AD387" s="1317"/>
      <c r="AE387" s="1317"/>
      <c r="AF387" s="1317"/>
      <c r="AG387" s="1317"/>
      <c r="AH387" s="1317"/>
      <c r="AI387" s="1317"/>
      <c r="AJ387" s="1317"/>
      <c r="AK387" s="1317"/>
      <c r="AL387" s="1317"/>
      <c r="AM387" s="1317"/>
      <c r="AN387" s="1317"/>
      <c r="AO387" s="1317"/>
      <c r="AP387" s="1317"/>
      <c r="AQ387" s="1317"/>
      <c r="AR387" s="1317"/>
      <c r="AS387" s="1317"/>
    </row>
    <row r="388" spans="1:45" s="1316" customFormat="1">
      <c r="A388" s="1308"/>
      <c r="S388" s="1308"/>
      <c r="T388" s="1308"/>
      <c r="U388" s="1324"/>
      <c r="V388" s="1317"/>
      <c r="W388" s="1317"/>
      <c r="X388" s="1317"/>
      <c r="Y388" s="1317"/>
      <c r="Z388" s="1317"/>
      <c r="AA388" s="1317"/>
      <c r="AB388" s="1317"/>
      <c r="AC388" s="1317"/>
      <c r="AD388" s="1317"/>
      <c r="AE388" s="1317"/>
      <c r="AF388" s="1317"/>
      <c r="AG388" s="1317"/>
      <c r="AH388" s="1317"/>
      <c r="AI388" s="1317"/>
      <c r="AJ388" s="1317"/>
      <c r="AK388" s="1317"/>
      <c r="AL388" s="1317"/>
      <c r="AM388" s="1317"/>
      <c r="AN388" s="1317"/>
      <c r="AO388" s="1317"/>
      <c r="AP388" s="1317"/>
      <c r="AQ388" s="1317"/>
      <c r="AR388" s="1317"/>
      <c r="AS388" s="1317"/>
    </row>
    <row r="389" spans="1:45" s="1316" customFormat="1">
      <c r="A389" s="1308"/>
      <c r="S389" s="1308"/>
      <c r="T389" s="1308"/>
      <c r="U389" s="1324"/>
      <c r="V389" s="1317"/>
      <c r="W389" s="1317"/>
      <c r="X389" s="1317"/>
      <c r="Y389" s="1317"/>
      <c r="Z389" s="1317"/>
      <c r="AA389" s="1317"/>
      <c r="AB389" s="1317"/>
      <c r="AC389" s="1317"/>
      <c r="AD389" s="1317"/>
      <c r="AE389" s="1317"/>
      <c r="AF389" s="1317"/>
      <c r="AG389" s="1317"/>
      <c r="AH389" s="1317"/>
      <c r="AI389" s="1317"/>
      <c r="AJ389" s="1317"/>
      <c r="AK389" s="1317"/>
      <c r="AL389" s="1317"/>
      <c r="AM389" s="1317"/>
      <c r="AN389" s="1317"/>
      <c r="AO389" s="1317"/>
      <c r="AP389" s="1317"/>
      <c r="AQ389" s="1317"/>
      <c r="AR389" s="1317"/>
      <c r="AS389" s="1317"/>
    </row>
    <row r="390" spans="1:45" s="1316" customFormat="1">
      <c r="A390" s="1308"/>
      <c r="S390" s="1308"/>
      <c r="T390" s="1308"/>
      <c r="U390" s="1324"/>
      <c r="V390" s="1317"/>
      <c r="W390" s="1317"/>
      <c r="X390" s="1317"/>
      <c r="Y390" s="1317"/>
      <c r="Z390" s="1317"/>
      <c r="AA390" s="1317"/>
      <c r="AB390" s="1317"/>
      <c r="AC390" s="1317"/>
      <c r="AD390" s="1317"/>
      <c r="AE390" s="1317"/>
      <c r="AF390" s="1317"/>
      <c r="AG390" s="1317"/>
      <c r="AH390" s="1317"/>
      <c r="AI390" s="1317"/>
      <c r="AJ390" s="1317"/>
      <c r="AK390" s="1317"/>
      <c r="AL390" s="1317"/>
      <c r="AM390" s="1317"/>
      <c r="AN390" s="1317"/>
      <c r="AO390" s="1317"/>
      <c r="AP390" s="1317"/>
      <c r="AQ390" s="1317"/>
      <c r="AR390" s="1317"/>
      <c r="AS390" s="1317"/>
    </row>
  </sheetData>
  <mergeCells count="475">
    <mergeCell ref="B324:G324"/>
    <mergeCell ref="I324:J324"/>
    <mergeCell ref="K324:M324"/>
    <mergeCell ref="B325:G325"/>
    <mergeCell ref="I325:J325"/>
    <mergeCell ref="K325:M325"/>
    <mergeCell ref="B23:F23"/>
    <mergeCell ref="B320:M320"/>
    <mergeCell ref="B321:G321"/>
    <mergeCell ref="I321:J321"/>
    <mergeCell ref="K321:M321"/>
    <mergeCell ref="B322:G322"/>
    <mergeCell ref="I322:J322"/>
    <mergeCell ref="K322:M322"/>
    <mergeCell ref="B323:G323"/>
    <mergeCell ref="I323:J323"/>
    <mergeCell ref="K323:M323"/>
    <mergeCell ref="B312:F312"/>
    <mergeCell ref="L312:M312"/>
    <mergeCell ref="B313:F313"/>
    <mergeCell ref="L313:M313"/>
    <mergeCell ref="B314:F314"/>
    <mergeCell ref="B301:M301"/>
    <mergeCell ref="B303:F303"/>
    <mergeCell ref="L305:M305"/>
    <mergeCell ref="L314:M314"/>
    <mergeCell ref="B315:F315"/>
    <mergeCell ref="G317:M319"/>
    <mergeCell ref="B307:F307"/>
    <mergeCell ref="L307:M307"/>
    <mergeCell ref="B308:F308"/>
    <mergeCell ref="L308:M308"/>
    <mergeCell ref="B309:F309"/>
    <mergeCell ref="L309:M309"/>
    <mergeCell ref="B310:F310"/>
    <mergeCell ref="L310:M310"/>
    <mergeCell ref="B311:F311"/>
    <mergeCell ref="L311:M311"/>
    <mergeCell ref="B306:F306"/>
    <mergeCell ref="L306:M306"/>
    <mergeCell ref="D30:G30"/>
    <mergeCell ref="D31:G31"/>
    <mergeCell ref="D32:G32"/>
    <mergeCell ref="B38:C41"/>
    <mergeCell ref="L303:M303"/>
    <mergeCell ref="B304:F304"/>
    <mergeCell ref="B51:D51"/>
    <mergeCell ref="C81:M81"/>
    <mergeCell ref="C78:M78"/>
    <mergeCell ref="C82:M82"/>
    <mergeCell ref="C84:M84"/>
    <mergeCell ref="C87:M87"/>
    <mergeCell ref="B109:D109"/>
    <mergeCell ref="B110:D110"/>
    <mergeCell ref="B287:M287"/>
    <mergeCell ref="C88:M88"/>
    <mergeCell ref="B95:M95"/>
    <mergeCell ref="B96:M96"/>
    <mergeCell ref="B97:H97"/>
    <mergeCell ref="J97:M98"/>
    <mergeCell ref="B98:H98"/>
    <mergeCell ref="B104:E104"/>
    <mergeCell ref="G104:M104"/>
    <mergeCell ref="D38:G38"/>
    <mergeCell ref="U1:AC2"/>
    <mergeCell ref="B2:G4"/>
    <mergeCell ref="J3:M7"/>
    <mergeCell ref="U4:AC5"/>
    <mergeCell ref="B5:G7"/>
    <mergeCell ref="B27:F27"/>
    <mergeCell ref="H27:M27"/>
    <mergeCell ref="B28:F28"/>
    <mergeCell ref="B29:F29"/>
    <mergeCell ref="H29:M29"/>
    <mergeCell ref="B24:F24"/>
    <mergeCell ref="H24:M24"/>
    <mergeCell ref="B25:F25"/>
    <mergeCell ref="H25:M25"/>
    <mergeCell ref="B26:F26"/>
    <mergeCell ref="H26:M26"/>
    <mergeCell ref="I28:M28"/>
    <mergeCell ref="G23:M23"/>
    <mergeCell ref="AD5:AK7"/>
    <mergeCell ref="B10:M10"/>
    <mergeCell ref="B8:M8"/>
    <mergeCell ref="B15:M15"/>
    <mergeCell ref="B16:M16"/>
    <mergeCell ref="B17:M17"/>
    <mergeCell ref="B21:M21"/>
    <mergeCell ref="B22:F22"/>
    <mergeCell ref="G22:M22"/>
    <mergeCell ref="B9:M9"/>
    <mergeCell ref="B11:M11"/>
    <mergeCell ref="AD11:AK12"/>
    <mergeCell ref="B12:M12"/>
    <mergeCell ref="B13:M13"/>
    <mergeCell ref="B14:M14"/>
    <mergeCell ref="D39:G39"/>
    <mergeCell ref="D41:G41"/>
    <mergeCell ref="B42:C44"/>
    <mergeCell ref="D42:M42"/>
    <mergeCell ref="D43:M43"/>
    <mergeCell ref="D44:M44"/>
    <mergeCell ref="D40:G40"/>
    <mergeCell ref="B33:C33"/>
    <mergeCell ref="I33:M33"/>
    <mergeCell ref="B34:C37"/>
    <mergeCell ref="D34:G34"/>
    <mergeCell ref="D35:G35"/>
    <mergeCell ref="D36:G36"/>
    <mergeCell ref="D37:G37"/>
    <mergeCell ref="B30:C32"/>
    <mergeCell ref="B56:M56"/>
    <mergeCell ref="C57:L57"/>
    <mergeCell ref="B52:D52"/>
    <mergeCell ref="B53:D53"/>
    <mergeCell ref="B45:D45"/>
    <mergeCell ref="B46:D46"/>
    <mergeCell ref="E45:F45"/>
    <mergeCell ref="G45:J45"/>
    <mergeCell ref="G46:J46"/>
    <mergeCell ref="G47:J47"/>
    <mergeCell ref="G48:J48"/>
    <mergeCell ref="G49:J49"/>
    <mergeCell ref="G50:J50"/>
    <mergeCell ref="E46:F46"/>
    <mergeCell ref="E47:F47"/>
    <mergeCell ref="E48:F48"/>
    <mergeCell ref="E49:F49"/>
    <mergeCell ref="G52:J52"/>
    <mergeCell ref="G53:J53"/>
    <mergeCell ref="G54:J54"/>
    <mergeCell ref="G55:J55"/>
    <mergeCell ref="E52:F52"/>
    <mergeCell ref="E53:F53"/>
    <mergeCell ref="E54:F54"/>
    <mergeCell ref="E55:F55"/>
    <mergeCell ref="B54:D54"/>
    <mergeCell ref="B55:D55"/>
    <mergeCell ref="B58:M58"/>
    <mergeCell ref="C59:L59"/>
    <mergeCell ref="B60:M60"/>
    <mergeCell ref="C61:G61"/>
    <mergeCell ref="H61:I61"/>
    <mergeCell ref="C83:M83"/>
    <mergeCell ref="K67:L67"/>
    <mergeCell ref="C68:G68"/>
    <mergeCell ref="H68:J68"/>
    <mergeCell ref="K68:L68"/>
    <mergeCell ref="C80:M80"/>
    <mergeCell ref="O68:O70"/>
    <mergeCell ref="C69:G69"/>
    <mergeCell ref="H69:J69"/>
    <mergeCell ref="K69:L69"/>
    <mergeCell ref="C70:G70"/>
    <mergeCell ref="H70:J70"/>
    <mergeCell ref="C67:G67"/>
    <mergeCell ref="H67:J67"/>
    <mergeCell ref="K70:L70"/>
    <mergeCell ref="N75:T75"/>
    <mergeCell ref="N76:T76"/>
    <mergeCell ref="N77:T77"/>
    <mergeCell ref="N78:T78"/>
    <mergeCell ref="N79:T79"/>
    <mergeCell ref="N80:T80"/>
    <mergeCell ref="N81:T81"/>
    <mergeCell ref="N82:T82"/>
    <mergeCell ref="N83:T83"/>
    <mergeCell ref="B62:M62"/>
    <mergeCell ref="C63:G63"/>
    <mergeCell ref="H63:J63"/>
    <mergeCell ref="K63:L63"/>
    <mergeCell ref="C79:M79"/>
    <mergeCell ref="C64:G64"/>
    <mergeCell ref="H64:J64"/>
    <mergeCell ref="K64:L64"/>
    <mergeCell ref="B75:M75"/>
    <mergeCell ref="C76:M76"/>
    <mergeCell ref="C77:M77"/>
    <mergeCell ref="C65:G65"/>
    <mergeCell ref="H65:J65"/>
    <mergeCell ref="C66:G66"/>
    <mergeCell ref="H66:J66"/>
    <mergeCell ref="C85:M85"/>
    <mergeCell ref="B102:F102"/>
    <mergeCell ref="B103:M103"/>
    <mergeCell ref="B99:F99"/>
    <mergeCell ref="B100:F100"/>
    <mergeCell ref="B146:F146"/>
    <mergeCell ref="B147:F147"/>
    <mergeCell ref="B148:F148"/>
    <mergeCell ref="B149:F149"/>
    <mergeCell ref="B133:D133"/>
    <mergeCell ref="B135:D135"/>
    <mergeCell ref="B136:E136"/>
    <mergeCell ref="B105:D105"/>
    <mergeCell ref="B106:D106"/>
    <mergeCell ref="B107:D107"/>
    <mergeCell ref="B108:D108"/>
    <mergeCell ref="B112:D112"/>
    <mergeCell ref="B101:F101"/>
    <mergeCell ref="C86:M86"/>
    <mergeCell ref="B150:F150"/>
    <mergeCell ref="B151:F151"/>
    <mergeCell ref="B134:D134"/>
    <mergeCell ref="B144:F144"/>
    <mergeCell ref="B145:F145"/>
    <mergeCell ref="B120:D120"/>
    <mergeCell ref="B130:D130"/>
    <mergeCell ref="B113:D113"/>
    <mergeCell ref="B115:D115"/>
    <mergeCell ref="B116:D116"/>
    <mergeCell ref="B117:D117"/>
    <mergeCell ref="B118:D118"/>
    <mergeCell ref="B119:D119"/>
    <mergeCell ref="B128:E128"/>
    <mergeCell ref="B129:E129"/>
    <mergeCell ref="B121:F121"/>
    <mergeCell ref="B123:E123"/>
    <mergeCell ref="B124:E124"/>
    <mergeCell ref="B122:E122"/>
    <mergeCell ref="B125:E125"/>
    <mergeCell ref="B126:E126"/>
    <mergeCell ref="B127:E127"/>
    <mergeCell ref="B132:D132"/>
    <mergeCell ref="B162:F162"/>
    <mergeCell ref="B163:F163"/>
    <mergeCell ref="B165:F165"/>
    <mergeCell ref="B169:M169"/>
    <mergeCell ref="B170:G170"/>
    <mergeCell ref="H170:J170"/>
    <mergeCell ref="K170:M170"/>
    <mergeCell ref="B153:F153"/>
    <mergeCell ref="B156:F156"/>
    <mergeCell ref="B157:F157"/>
    <mergeCell ref="B158:F158"/>
    <mergeCell ref="B160:F160"/>
    <mergeCell ref="B161:F161"/>
    <mergeCell ref="B155:F155"/>
    <mergeCell ref="B154:F154"/>
    <mergeCell ref="G153:H153"/>
    <mergeCell ref="B159:F159"/>
    <mergeCell ref="G159:H159"/>
    <mergeCell ref="B172:F172"/>
    <mergeCell ref="H172:I172"/>
    <mergeCell ref="K172:L172"/>
    <mergeCell ref="B179:F179"/>
    <mergeCell ref="B174:M174"/>
    <mergeCell ref="B175:F175"/>
    <mergeCell ref="B176:F176"/>
    <mergeCell ref="B177:F177"/>
    <mergeCell ref="B178:F178"/>
    <mergeCell ref="K256:M256"/>
    <mergeCell ref="K257:M257"/>
    <mergeCell ref="B258:M258"/>
    <mergeCell ref="B259:G259"/>
    <mergeCell ref="K259:M259"/>
    <mergeCell ref="I256:J256"/>
    <mergeCell ref="I257:J257"/>
    <mergeCell ref="K254:M254"/>
    <mergeCell ref="B246:E246"/>
    <mergeCell ref="G246:H246"/>
    <mergeCell ref="B251:M251"/>
    <mergeCell ref="I252:J252"/>
    <mergeCell ref="K252:M252"/>
    <mergeCell ref="B253:M253"/>
    <mergeCell ref="I259:J259"/>
    <mergeCell ref="B255:G255"/>
    <mergeCell ref="K255:M255"/>
    <mergeCell ref="I255:J255"/>
    <mergeCell ref="B256:G256"/>
    <mergeCell ref="B257:G257"/>
    <mergeCell ref="N266:P266"/>
    <mergeCell ref="B267:G267"/>
    <mergeCell ref="I267:J267"/>
    <mergeCell ref="K267:M267"/>
    <mergeCell ref="B341:D341"/>
    <mergeCell ref="B342:D342"/>
    <mergeCell ref="F342:M342"/>
    <mergeCell ref="B333:D333"/>
    <mergeCell ref="H333:M333"/>
    <mergeCell ref="B334:D334"/>
    <mergeCell ref="B335:D335"/>
    <mergeCell ref="B336:D336"/>
    <mergeCell ref="B337:D337"/>
    <mergeCell ref="B338:D338"/>
    <mergeCell ref="B339:D339"/>
    <mergeCell ref="B340:D340"/>
    <mergeCell ref="B298:G298"/>
    <mergeCell ref="K298:M298"/>
    <mergeCell ref="B332:M332"/>
    <mergeCell ref="B288:G288"/>
    <mergeCell ref="B295:G295"/>
    <mergeCell ref="I295:J295"/>
    <mergeCell ref="L304:M304"/>
    <mergeCell ref="B305:F305"/>
    <mergeCell ref="K295:M295"/>
    <mergeCell ref="I288:J288"/>
    <mergeCell ref="I292:J292"/>
    <mergeCell ref="I297:J297"/>
    <mergeCell ref="I298:J298"/>
    <mergeCell ref="K292:M292"/>
    <mergeCell ref="K288:M288"/>
    <mergeCell ref="I289:J289"/>
    <mergeCell ref="K289:M289"/>
    <mergeCell ref="I290:J290"/>
    <mergeCell ref="K290:M290"/>
    <mergeCell ref="B291:G291"/>
    <mergeCell ref="I291:J291"/>
    <mergeCell ref="K291:M291"/>
    <mergeCell ref="I294:J294"/>
    <mergeCell ref="K294:M294"/>
    <mergeCell ref="N30:N32"/>
    <mergeCell ref="B296:M296"/>
    <mergeCell ref="B297:G297"/>
    <mergeCell ref="K297:M297"/>
    <mergeCell ref="K285:M285"/>
    <mergeCell ref="B286:M286"/>
    <mergeCell ref="B279:M279"/>
    <mergeCell ref="B280:G280"/>
    <mergeCell ref="B281:G281"/>
    <mergeCell ref="B282:M282"/>
    <mergeCell ref="B283:G283"/>
    <mergeCell ref="I283:J283"/>
    <mergeCell ref="K283:M283"/>
    <mergeCell ref="B285:G285"/>
    <mergeCell ref="I280:J280"/>
    <mergeCell ref="I281:J281"/>
    <mergeCell ref="B292:G292"/>
    <mergeCell ref="B273:G273"/>
    <mergeCell ref="I273:J273"/>
    <mergeCell ref="I285:J285"/>
    <mergeCell ref="K277:M277"/>
    <mergeCell ref="K280:M280"/>
    <mergeCell ref="K281:M281"/>
    <mergeCell ref="K278:M278"/>
    <mergeCell ref="B277:G277"/>
    <mergeCell ref="I274:J274"/>
    <mergeCell ref="I277:J277"/>
    <mergeCell ref="B284:G284"/>
    <mergeCell ref="I284:J284"/>
    <mergeCell ref="B275:G275"/>
    <mergeCell ref="B276:G276"/>
    <mergeCell ref="I276:J276"/>
    <mergeCell ref="K275:M275"/>
    <mergeCell ref="K276:M276"/>
    <mergeCell ref="B268:G268"/>
    <mergeCell ref="B263:G263"/>
    <mergeCell ref="B264:G264"/>
    <mergeCell ref="K273:M273"/>
    <mergeCell ref="B274:G274"/>
    <mergeCell ref="K274:M274"/>
    <mergeCell ref="B278:G278"/>
    <mergeCell ref="I278:J278"/>
    <mergeCell ref="I275:J275"/>
    <mergeCell ref="G234:H234"/>
    <mergeCell ref="K264:M264"/>
    <mergeCell ref="B272:M272"/>
    <mergeCell ref="I260:J260"/>
    <mergeCell ref="I263:J263"/>
    <mergeCell ref="K260:M260"/>
    <mergeCell ref="K263:M263"/>
    <mergeCell ref="B271:G271"/>
    <mergeCell ref="I271:J271"/>
    <mergeCell ref="K271:M271"/>
    <mergeCell ref="B270:G270"/>
    <mergeCell ref="K270:M270"/>
    <mergeCell ref="I268:J268"/>
    <mergeCell ref="I269:J269"/>
    <mergeCell ref="B261:G261"/>
    <mergeCell ref="B262:G262"/>
    <mergeCell ref="I266:J266"/>
    <mergeCell ref="I262:J262"/>
    <mergeCell ref="B265:M265"/>
    <mergeCell ref="B260:G260"/>
    <mergeCell ref="I270:J270"/>
    <mergeCell ref="I264:J264"/>
    <mergeCell ref="B266:G266"/>
    <mergeCell ref="B269:G269"/>
    <mergeCell ref="B49:D49"/>
    <mergeCell ref="B50:D50"/>
    <mergeCell ref="B47:D47"/>
    <mergeCell ref="B48:D48"/>
    <mergeCell ref="B193:M193"/>
    <mergeCell ref="B194:F194"/>
    <mergeCell ref="G194:H194"/>
    <mergeCell ref="B195:F195"/>
    <mergeCell ref="B196:F196"/>
    <mergeCell ref="B191:F191"/>
    <mergeCell ref="B192:F192"/>
    <mergeCell ref="B185:F185"/>
    <mergeCell ref="B186:M186"/>
    <mergeCell ref="B187:F187"/>
    <mergeCell ref="B188:F188"/>
    <mergeCell ref="B189:F189"/>
    <mergeCell ref="B190:F190"/>
    <mergeCell ref="B182:F182"/>
    <mergeCell ref="B183:F183"/>
    <mergeCell ref="K173:M173"/>
    <mergeCell ref="B180:F180"/>
    <mergeCell ref="B171:F171"/>
    <mergeCell ref="H171:I171"/>
    <mergeCell ref="K171:L171"/>
    <mergeCell ref="E50:F50"/>
    <mergeCell ref="I234:M234"/>
    <mergeCell ref="F220:G220"/>
    <mergeCell ref="F221:G221"/>
    <mergeCell ref="B218:M218"/>
    <mergeCell ref="B219:C219"/>
    <mergeCell ref="D219:E219"/>
    <mergeCell ref="F219:H219"/>
    <mergeCell ref="B208:F208"/>
    <mergeCell ref="B209:F209"/>
    <mergeCell ref="B210:F210"/>
    <mergeCell ref="B211:F211"/>
    <mergeCell ref="B212:F212"/>
    <mergeCell ref="B217:M217"/>
    <mergeCell ref="B111:D111"/>
    <mergeCell ref="B233:M233"/>
    <mergeCell ref="B234:F234"/>
    <mergeCell ref="B203:F203"/>
    <mergeCell ref="B131:D131"/>
    <mergeCell ref="B197:F197"/>
    <mergeCell ref="B206:F206"/>
    <mergeCell ref="B207:F207"/>
    <mergeCell ref="B198:F198"/>
    <mergeCell ref="B199:F199"/>
    <mergeCell ref="B142:J142"/>
    <mergeCell ref="B184:F184"/>
    <mergeCell ref="B181:F181"/>
    <mergeCell ref="H181:M181"/>
    <mergeCell ref="B173:F173"/>
    <mergeCell ref="H173:I173"/>
    <mergeCell ref="G238:H238"/>
    <mergeCell ref="I261:J261"/>
    <mergeCell ref="B242:E242"/>
    <mergeCell ref="G242:H242"/>
    <mergeCell ref="B238:E238"/>
    <mergeCell ref="B204:F204"/>
    <mergeCell ref="B205:F205"/>
    <mergeCell ref="B243:E243"/>
    <mergeCell ref="G243:H243"/>
    <mergeCell ref="B244:E244"/>
    <mergeCell ref="B241:E241"/>
    <mergeCell ref="G241:H241"/>
    <mergeCell ref="B254:G254"/>
    <mergeCell ref="I254:J254"/>
    <mergeCell ref="G236:H236"/>
    <mergeCell ref="B237:E237"/>
    <mergeCell ref="J219:L219"/>
    <mergeCell ref="J220:L220"/>
    <mergeCell ref="B152:F152"/>
    <mergeCell ref="B114:D114"/>
    <mergeCell ref="N84:T84"/>
    <mergeCell ref="N85:T85"/>
    <mergeCell ref="N86:T86"/>
    <mergeCell ref="N87:T87"/>
    <mergeCell ref="N88:T88"/>
    <mergeCell ref="E51:F51"/>
    <mergeCell ref="K261:M261"/>
    <mergeCell ref="G237:H237"/>
    <mergeCell ref="B200:F200"/>
    <mergeCell ref="B201:F201"/>
    <mergeCell ref="B202:F202"/>
    <mergeCell ref="G202:H202"/>
    <mergeCell ref="B239:E239"/>
    <mergeCell ref="G239:H239"/>
    <mergeCell ref="B240:E240"/>
    <mergeCell ref="G240:H240"/>
    <mergeCell ref="B235:E235"/>
    <mergeCell ref="G235:H235"/>
    <mergeCell ref="B236:E236"/>
    <mergeCell ref="G244:H244"/>
    <mergeCell ref="B245:E245"/>
    <mergeCell ref="G245:H245"/>
  </mergeCells>
  <phoneticPr fontId="103" type="noConversion"/>
  <conditionalFormatting sqref="A127:A136 N127:XFD136 T139:T145 T148:T157 T161:T168 T171:T176 T179:T180 T182:T187 T191:T193 T196:T202 T205:T211 T214:T221 O219:O220 O223:O225 T224:T231 T234:T240 T242:T245 T248:T254 T256:T259 T263:T270 T273:T281 T285:T288 T292 T295:T331 T334:T340 T343:T349 T352:T358 T361:T367 T370:T376 T379:T385 T388:T390">
    <cfRule type="expression" dxfId="253" priority="90">
      <formula>ch_constructionneuve=TRUE</formula>
    </cfRule>
  </conditionalFormatting>
  <conditionalFormatting sqref="A121:M126 S121:XFD126">
    <cfRule type="expression" dxfId="252" priority="89">
      <formula>ch_renovationcomplete=TRUE</formula>
    </cfRule>
  </conditionalFormatting>
  <conditionalFormatting sqref="B82">
    <cfRule type="expression" dxfId="251" priority="12">
      <formula>$B$82=FALSE</formula>
    </cfRule>
    <cfRule type="expression" dxfId="250" priority="13">
      <formula>$B$82</formula>
    </cfRule>
  </conditionalFormatting>
  <conditionalFormatting sqref="B261:G262">
    <cfRule type="expression" dxfId="249" priority="17">
      <formula>ch_nappe=FALSE</formula>
    </cfRule>
  </conditionalFormatting>
  <conditionalFormatting sqref="B127:M138">
    <cfRule type="expression" dxfId="248" priority="11">
      <formula>OR($H$40=TRUE,$H$38=TRUE)</formula>
    </cfRule>
  </conditionalFormatting>
  <conditionalFormatting sqref="B174:M180 B181:H181 B182:M185">
    <cfRule type="expression" dxfId="247" priority="117">
      <formula>$G$171="non"</formula>
    </cfRule>
  </conditionalFormatting>
  <conditionalFormatting sqref="B186:M192">
    <cfRule type="expression" dxfId="246" priority="116">
      <formula>$G$172="non"</formula>
    </cfRule>
  </conditionalFormatting>
  <conditionalFormatting sqref="B193:M213">
    <cfRule type="expression" dxfId="245" priority="580">
      <formula>$G$173="non"</formula>
    </cfRule>
  </conditionalFormatting>
  <conditionalFormatting sqref="B195:M201">
    <cfRule type="expression" dxfId="244" priority="119">
      <formula>$I$194="non"</formula>
    </cfRule>
  </conditionalFormatting>
  <conditionalFormatting sqref="B203:M205">
    <cfRule type="expression" dxfId="243" priority="118">
      <formula>$I$202="non"</formula>
    </cfRule>
  </conditionalFormatting>
  <conditionalFormatting sqref="B258:M258 B259:G260 H259:M264 B263:G264">
    <cfRule type="expression" dxfId="242" priority="3">
      <formula>ch_nappe=FALSE</formula>
    </cfRule>
  </conditionalFormatting>
  <conditionalFormatting sqref="B261:M262">
    <cfRule type="expression" dxfId="241" priority="57">
      <formula>ch_froidactif=FALSE</formula>
    </cfRule>
  </conditionalFormatting>
  <conditionalFormatting sqref="B265:M271">
    <cfRule type="expression" dxfId="240" priority="18">
      <formula>ch_sondes=FALSE</formula>
    </cfRule>
  </conditionalFormatting>
  <conditionalFormatting sqref="B268:M269">
    <cfRule type="expression" dxfId="239" priority="45">
      <formula>ch_froidactif=FALSE</formula>
    </cfRule>
  </conditionalFormatting>
  <conditionalFormatting sqref="B272:M278">
    <cfRule type="expression" dxfId="238" priority="16">
      <formula>ch_eauxusees=FALSE</formula>
    </cfRule>
  </conditionalFormatting>
  <conditionalFormatting sqref="B275:M276">
    <cfRule type="expression" dxfId="237" priority="48">
      <formula>ch_froidactif=FALSE</formula>
    </cfRule>
  </conditionalFormatting>
  <conditionalFormatting sqref="B279:M281">
    <cfRule type="expression" dxfId="236" priority="73">
      <formula>ch_geocooling=FALSE</formula>
    </cfRule>
  </conditionalFormatting>
  <conditionalFormatting sqref="C220:C225">
    <cfRule type="containsText" dxfId="235" priority="27" operator="containsText" text="oui">
      <formula>NOT(ISERROR(SEARCH("oui",C220)))</formula>
    </cfRule>
  </conditionalFormatting>
  <conditionalFormatting sqref="E220:E225">
    <cfRule type="containsText" dxfId="234" priority="4" operator="containsText" text="oui">
      <formula>NOT(ISERROR(SEARCH("oui",E220)))</formula>
    </cfRule>
  </conditionalFormatting>
  <conditionalFormatting sqref="F132:F133">
    <cfRule type="expression" dxfId="233" priority="10">
      <formula>ch_constructionneuve=TRUE</formula>
    </cfRule>
  </conditionalFormatting>
  <conditionalFormatting sqref="F334:F341">
    <cfRule type="colorScale" priority="128">
      <colorScale>
        <cfvo type="min"/>
        <cfvo type="max"/>
        <color theme="8" tint="0.79998168889431442"/>
        <color theme="8"/>
      </colorScale>
    </cfRule>
  </conditionalFormatting>
  <conditionalFormatting sqref="F219:H221">
    <cfRule type="expression" dxfId="232" priority="111">
      <formula>ch_nappe&lt;&gt;TRUE</formula>
    </cfRule>
  </conditionalFormatting>
  <conditionalFormatting sqref="G143:G145 H145:I145 H154:H155 H156:I156">
    <cfRule type="expression" dxfId="231" priority="105">
      <formula>ch_chauffage=FALSE</formula>
    </cfRule>
  </conditionalFormatting>
  <conditionalFormatting sqref="H149 G147:G165">
    <cfRule type="expression" dxfId="230" priority="64">
      <formula>ch_chauffage=FALSE</formula>
    </cfRule>
  </conditionalFormatting>
  <conditionalFormatting sqref="G146:H146">
    <cfRule type="expression" dxfId="229" priority="9">
      <formula>AND(ch_froidactif=FALSE,ch_geocooling=FALSE)</formula>
    </cfRule>
  </conditionalFormatting>
  <conditionalFormatting sqref="H27">
    <cfRule type="expression" dxfId="228" priority="581">
      <formula>$I$28&lt;&gt;""</formula>
    </cfRule>
  </conditionalFormatting>
  <conditionalFormatting sqref="H143:H144 H157:H158 H160:H165">
    <cfRule type="expression" dxfId="227" priority="104">
      <formula>ch_ecs=FALSE</formula>
    </cfRule>
  </conditionalFormatting>
  <conditionalFormatting sqref="H147:H148 H150:H152">
    <cfRule type="expression" dxfId="226" priority="63">
      <formula>ch_ecs=FALSE</formula>
    </cfRule>
  </conditionalFormatting>
  <conditionalFormatting sqref="H259:H264 H266:H271 B77:B88 H254:H257">
    <cfRule type="containsText" dxfId="225" priority="32" operator="containsText" text="oui">
      <formula>NOT(ISERROR(SEARCH("oui",B77)))</formula>
    </cfRule>
  </conditionalFormatting>
  <conditionalFormatting sqref="H259:H264">
    <cfRule type="expression" dxfId="224" priority="35">
      <formula>"oui"</formula>
    </cfRule>
    <cfRule type="expression" dxfId="223" priority="76">
      <formula>ch_nappe=FALSE</formula>
    </cfRule>
  </conditionalFormatting>
  <conditionalFormatting sqref="H261">
    <cfRule type="expression" dxfId="222" priority="29">
      <formula>ch_nappe=FALSE</formula>
    </cfRule>
  </conditionalFormatting>
  <conditionalFormatting sqref="H273:H278">
    <cfRule type="containsText" dxfId="221" priority="74" operator="containsText" text="oui">
      <formula>NOT(ISERROR(SEARCH("oui",H273)))</formula>
    </cfRule>
  </conditionalFormatting>
  <conditionalFormatting sqref="H280:H281">
    <cfRule type="containsText" dxfId="220" priority="24" operator="containsText" text="oui">
      <formula>NOT(ISERROR(SEARCH("oui",H280)))</formula>
    </cfRule>
  </conditionalFormatting>
  <conditionalFormatting sqref="H289:H295">
    <cfRule type="containsText" dxfId="219" priority="23" operator="containsText" text="oui">
      <formula>NOT(ISERROR(SEARCH("oui",H289)))</formula>
    </cfRule>
  </conditionalFormatting>
  <conditionalFormatting sqref="H297:H298">
    <cfRule type="containsText" dxfId="218" priority="22" operator="containsText" text="oui">
      <formula>NOT(ISERROR(SEARCH("oui",H297)))</formula>
    </cfRule>
  </conditionalFormatting>
  <conditionalFormatting sqref="H321:H325">
    <cfRule type="containsText" dxfId="217" priority="20" operator="containsText" text="ok">
      <formula>NOT(ISERROR(SEARCH("ok",H321)))</formula>
    </cfRule>
  </conditionalFormatting>
  <conditionalFormatting sqref="H324:H325">
    <cfRule type="containsText" dxfId="216" priority="37" operator="containsText" text="oui">
      <formula>NOT(ISERROR(SEARCH("oui",H324)))</formula>
    </cfRule>
  </conditionalFormatting>
  <conditionalFormatting sqref="H206:I213">
    <cfRule type="expression" dxfId="215" priority="59">
      <formula>AND(#REF!="non",$G$173="non")</formula>
    </cfRule>
  </conditionalFormatting>
  <conditionalFormatting sqref="H305:I314">
    <cfRule type="expression" dxfId="214" priority="40">
      <formula>$G$187&lt;&gt;"extension"</formula>
    </cfRule>
  </conditionalFormatting>
  <conditionalFormatting sqref="I154">
    <cfRule type="expression" dxfId="213" priority="60">
      <formula>AND(ch_froidactif=FALSE,ch_geocooling=FALSE)</formula>
    </cfRule>
  </conditionalFormatting>
  <conditionalFormatting sqref="I308">
    <cfRule type="expression" dxfId="212" priority="39">
      <formula>$G$187="Extension"</formula>
    </cfRule>
  </conditionalFormatting>
  <conditionalFormatting sqref="I143:J144 J156 I157:J165">
    <cfRule type="expression" dxfId="211" priority="103">
      <formula>AND(ch_froidactif=FALSE,ch_geocooling=FALSE)</formula>
    </cfRule>
  </conditionalFormatting>
  <conditionalFormatting sqref="I146:J153">
    <cfRule type="expression" dxfId="210" priority="6">
      <formula>AND(ch_froidactif=FALSE,ch_geocooling=FALSE)</formula>
    </cfRule>
  </conditionalFormatting>
  <conditionalFormatting sqref="J155">
    <cfRule type="expression" dxfId="209" priority="61">
      <formula>AND(ch_froidactif=FALSE,ch_geocooling=FALSE)</formula>
    </cfRule>
  </conditionalFormatting>
  <conditionalFormatting sqref="J145">
    <cfRule type="expression" dxfId="208" priority="8">
      <formula>AND(ch_froidactif=FALSE,ch_geocooling=FALSE)</formula>
    </cfRule>
  </conditionalFormatting>
  <conditionalFormatting sqref="J303:K303 J306:K306 J309:K309 J312:K312 J314:K314">
    <cfRule type="expression" dxfId="207" priority="41">
      <formula>$H$121&lt;&gt;""</formula>
    </cfRule>
  </conditionalFormatting>
  <conditionalFormatting sqref="L316">
    <cfRule type="containsText" dxfId="206" priority="42" operator="containsText" text="oui">
      <formula>NOT(ISERROR(SEARCH("oui",L316)))</formula>
    </cfRule>
  </conditionalFormatting>
  <conditionalFormatting sqref="I155">
    <cfRule type="expression" dxfId="205" priority="1">
      <formula>ch_chauffage=FALSE</formula>
    </cfRule>
  </conditionalFormatting>
  <dataValidations count="17">
    <dataValidation type="list" allowBlank="1" showInputMessage="1" sqref="G165:J165">
      <formula1>"Gaz, Fioul, Electricité, Solaire, biomasse, autre?"</formula1>
    </dataValidation>
    <dataValidation allowBlank="1" showInputMessage="1" sqref="J145 G308:I308 H324:H325 G146:H146"/>
    <dataValidation type="list" allowBlank="1" showInputMessage="1" showErrorMessage="1" sqref="G122:R122 I194 C220:C225 H180 E220:E225 I202 H273 H257 H254 H266 G124 H298 H288:H295">
      <formula1>INDIRECT("G_ouinon[Oui/non]")</formula1>
    </dataValidation>
    <dataValidation type="list" allowBlank="1" showInputMessage="1" sqref="H280">
      <formula1>INDIRECT("G_bat[Bâtiments géocooling]")</formula1>
    </dataValidation>
    <dataValidation type="list" allowBlank="1" showInputMessage="1" sqref="H297">
      <formula1>"MO, Prestataire, non connu"</formula1>
    </dataValidation>
    <dataValidation type="list" allowBlank="1" showInputMessage="1" sqref="N100:R101 G100:M100">
      <formula1>INDIRECT("G_typebatiment[Type bâtiment]")</formula1>
    </dataValidation>
    <dataValidation type="list" allowBlank="1" showInputMessage="1" sqref="G102:R102">
      <formula1>INDIRECT("B_neufexistant[Neuf/Existant]")</formula1>
    </dataValidation>
    <dataValidation type="list" allowBlank="1" showInputMessage="1" showErrorMessage="1" sqref="G334:G341">
      <formula1>INDIRECT("etapesdossier[Etapes_dossier]")</formula1>
    </dataValidation>
    <dataValidation type="list" allowBlank="1" showInputMessage="1" showErrorMessage="1" sqref="M128:R128">
      <formula1>INDIRECT("G_typedetravaux[Type de travaux]")</formula1>
    </dataValidation>
    <dataValidation type="list" allowBlank="1" showInputMessage="1" showErrorMessage="1" sqref="F129:R129">
      <formula1>INDIRECT("G_methodedecalcul[Methode de calcul]")</formula1>
    </dataValidation>
    <dataValidation type="list" allowBlank="1" showInputMessage="1" showErrorMessage="1" sqref="K46:K55">
      <formula1>INDIRECT("G_referent[Referent]")</formula1>
    </dataValidation>
    <dataValidation type="list" allowBlank="1" showInputMessage="1" sqref="G101:M101">
      <formula1>INDIRECT("G_usagestertiaire[Usages tertiaire]")</formula1>
    </dataValidation>
    <dataValidation type="list" allowBlank="1" showInputMessage="1" sqref="H145">
      <formula1>"PAC double service, PAC réversible, PAC élec, PAC gaz à absorption, autre"</formula1>
    </dataValidation>
    <dataValidation type="list" allowBlank="1" showInputMessage="1" sqref="B77:B88">
      <formula1>INDIRECT("G_ouinonconcerne[Oui/non concerne]")</formula1>
    </dataValidation>
    <dataValidation type="list" allowBlank="1" showInputMessage="1" sqref="G145">
      <formula1>"PAC élec, PAC double service, PAC réversible, PAC gaz à absorption, TFP, autre"</formula1>
    </dataValidation>
    <dataValidation type="list" allowBlank="1" showInputMessage="1" sqref="I145">
      <formula1>"PAC réversible, PAC élec, PAC gaz à absorption, TFP, autre"</formula1>
    </dataValidation>
    <dataValidation type="list" allowBlank="1" showInputMessage="1" showErrorMessage="1" sqref="I146:J146">
      <formula1>"oui,non"</formula1>
    </dataValidation>
  </dataValidations>
  <hyperlinks>
    <hyperlink ref="B9:C9" location="'Fiche projet biomasse'!B17" display="1 - Présentation du projet"/>
    <hyperlink ref="B254:G254" r:id="rId1" display="Cette instllation ne concerne pas le(s) remplacement(s) de PAC en raison de l'interdiction d'utilisation de certains fluides frigorigènes encadrés par le code de l'environnement (non éligible car respect de la réglementation) ."/>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2465" r:id="rId5" name="Check Box 1">
              <controlPr defaultSize="0" autoFill="0" autoLine="0" autoPict="0">
                <anchor moveWithCells="1">
                  <from>
                    <xdr:col>7</xdr:col>
                    <xdr:colOff>502920</xdr:colOff>
                    <xdr:row>30</xdr:row>
                    <xdr:rowOff>0</xdr:rowOff>
                  </from>
                  <to>
                    <xdr:col>7</xdr:col>
                    <xdr:colOff>754380</xdr:colOff>
                    <xdr:row>30</xdr:row>
                    <xdr:rowOff>228600</xdr:rowOff>
                  </to>
                </anchor>
              </controlPr>
            </control>
          </mc:Choice>
        </mc:AlternateContent>
        <mc:AlternateContent xmlns:mc="http://schemas.openxmlformats.org/markup-compatibility/2006">
          <mc:Choice Requires="x14">
            <control shapeId="62466" r:id="rId6" name="Check Box 2">
              <controlPr defaultSize="0" autoFill="0" autoLine="0" autoPict="0">
                <anchor moveWithCells="1">
                  <from>
                    <xdr:col>7</xdr:col>
                    <xdr:colOff>502920</xdr:colOff>
                    <xdr:row>29</xdr:row>
                    <xdr:rowOff>0</xdr:rowOff>
                  </from>
                  <to>
                    <xdr:col>7</xdr:col>
                    <xdr:colOff>754380</xdr:colOff>
                    <xdr:row>29</xdr:row>
                    <xdr:rowOff>228600</xdr:rowOff>
                  </to>
                </anchor>
              </controlPr>
            </control>
          </mc:Choice>
        </mc:AlternateContent>
        <mc:AlternateContent xmlns:mc="http://schemas.openxmlformats.org/markup-compatibility/2006">
          <mc:Choice Requires="x14">
            <control shapeId="62467" r:id="rId7" name="Check Box 3">
              <controlPr defaultSize="0" autoFill="0" autoLine="0" autoPict="0">
                <anchor moveWithCells="1">
                  <from>
                    <xdr:col>7</xdr:col>
                    <xdr:colOff>502920</xdr:colOff>
                    <xdr:row>31</xdr:row>
                    <xdr:rowOff>0</xdr:rowOff>
                  </from>
                  <to>
                    <xdr:col>7</xdr:col>
                    <xdr:colOff>754380</xdr:colOff>
                    <xdr:row>31</xdr:row>
                    <xdr:rowOff>228600</xdr:rowOff>
                  </to>
                </anchor>
              </controlPr>
            </control>
          </mc:Choice>
        </mc:AlternateContent>
        <mc:AlternateContent xmlns:mc="http://schemas.openxmlformats.org/markup-compatibility/2006">
          <mc:Choice Requires="x14">
            <control shapeId="62468" r:id="rId8" name="Check Box 4">
              <controlPr defaultSize="0" autoFill="0" autoLine="0" autoPict="0">
                <anchor moveWithCells="1">
                  <from>
                    <xdr:col>7</xdr:col>
                    <xdr:colOff>502920</xdr:colOff>
                    <xdr:row>36</xdr:row>
                    <xdr:rowOff>0</xdr:rowOff>
                  </from>
                  <to>
                    <xdr:col>7</xdr:col>
                    <xdr:colOff>754380</xdr:colOff>
                    <xdr:row>36</xdr:row>
                    <xdr:rowOff>228600</xdr:rowOff>
                  </to>
                </anchor>
              </controlPr>
            </control>
          </mc:Choice>
        </mc:AlternateContent>
        <mc:AlternateContent xmlns:mc="http://schemas.openxmlformats.org/markup-compatibility/2006">
          <mc:Choice Requires="x14">
            <control shapeId="62469" r:id="rId9" name="Check Box 5">
              <controlPr defaultSize="0" autoFill="0" autoLine="0" autoPict="0">
                <anchor moveWithCells="1">
                  <from>
                    <xdr:col>7</xdr:col>
                    <xdr:colOff>502920</xdr:colOff>
                    <xdr:row>37</xdr:row>
                    <xdr:rowOff>0</xdr:rowOff>
                  </from>
                  <to>
                    <xdr:col>7</xdr:col>
                    <xdr:colOff>754380</xdr:colOff>
                    <xdr:row>37</xdr:row>
                    <xdr:rowOff>228600</xdr:rowOff>
                  </to>
                </anchor>
              </controlPr>
            </control>
          </mc:Choice>
        </mc:AlternateContent>
        <mc:AlternateContent xmlns:mc="http://schemas.openxmlformats.org/markup-compatibility/2006">
          <mc:Choice Requires="x14">
            <control shapeId="62470" r:id="rId10" name="Check Box 6">
              <controlPr defaultSize="0" autoFill="0" autoLine="0" autoPict="0">
                <anchor moveWithCells="1">
                  <from>
                    <xdr:col>7</xdr:col>
                    <xdr:colOff>502920</xdr:colOff>
                    <xdr:row>38</xdr:row>
                    <xdr:rowOff>0</xdr:rowOff>
                  </from>
                  <to>
                    <xdr:col>7</xdr:col>
                    <xdr:colOff>754380</xdr:colOff>
                    <xdr:row>38</xdr:row>
                    <xdr:rowOff>228600</xdr:rowOff>
                  </to>
                </anchor>
              </controlPr>
            </control>
          </mc:Choice>
        </mc:AlternateContent>
        <mc:AlternateContent xmlns:mc="http://schemas.openxmlformats.org/markup-compatibility/2006">
          <mc:Choice Requires="x14">
            <control shapeId="62471" r:id="rId11" name="Check Box 7">
              <controlPr defaultSize="0" autoFill="0" autoLine="0" autoPict="0">
                <anchor moveWithCells="1">
                  <from>
                    <xdr:col>7</xdr:col>
                    <xdr:colOff>502920</xdr:colOff>
                    <xdr:row>40</xdr:row>
                    <xdr:rowOff>0</xdr:rowOff>
                  </from>
                  <to>
                    <xdr:col>7</xdr:col>
                    <xdr:colOff>754380</xdr:colOff>
                    <xdr:row>40</xdr:row>
                    <xdr:rowOff>228600</xdr:rowOff>
                  </to>
                </anchor>
              </controlPr>
            </control>
          </mc:Choice>
        </mc:AlternateContent>
        <mc:AlternateContent xmlns:mc="http://schemas.openxmlformats.org/markup-compatibility/2006">
          <mc:Choice Requires="x14">
            <control shapeId="62472" r:id="rId12" name="Check Box 8">
              <controlPr defaultSize="0" autoFill="0" autoLine="0" autoPict="0">
                <anchor moveWithCells="1">
                  <from>
                    <xdr:col>7</xdr:col>
                    <xdr:colOff>502920</xdr:colOff>
                    <xdr:row>33</xdr:row>
                    <xdr:rowOff>0</xdr:rowOff>
                  </from>
                  <to>
                    <xdr:col>7</xdr:col>
                    <xdr:colOff>754380</xdr:colOff>
                    <xdr:row>33</xdr:row>
                    <xdr:rowOff>228600</xdr:rowOff>
                  </to>
                </anchor>
              </controlPr>
            </control>
          </mc:Choice>
        </mc:AlternateContent>
        <mc:AlternateContent xmlns:mc="http://schemas.openxmlformats.org/markup-compatibility/2006">
          <mc:Choice Requires="x14">
            <control shapeId="62473" r:id="rId13" name="Check Box 9">
              <controlPr defaultSize="0" autoFill="0" autoLine="0" autoPict="0">
                <anchor moveWithCells="1">
                  <from>
                    <xdr:col>7</xdr:col>
                    <xdr:colOff>502920</xdr:colOff>
                    <xdr:row>33</xdr:row>
                    <xdr:rowOff>0</xdr:rowOff>
                  </from>
                  <to>
                    <xdr:col>7</xdr:col>
                    <xdr:colOff>754380</xdr:colOff>
                    <xdr:row>33</xdr:row>
                    <xdr:rowOff>228600</xdr:rowOff>
                  </to>
                </anchor>
              </controlPr>
            </control>
          </mc:Choice>
        </mc:AlternateContent>
        <mc:AlternateContent xmlns:mc="http://schemas.openxmlformats.org/markup-compatibility/2006">
          <mc:Choice Requires="x14">
            <control shapeId="62474" r:id="rId14" name="Check Box 10">
              <controlPr defaultSize="0" autoFill="0" autoLine="0" autoPict="0">
                <anchor moveWithCells="1">
                  <from>
                    <xdr:col>7</xdr:col>
                    <xdr:colOff>502920</xdr:colOff>
                    <xdr:row>34</xdr:row>
                    <xdr:rowOff>0</xdr:rowOff>
                  </from>
                  <to>
                    <xdr:col>7</xdr:col>
                    <xdr:colOff>754380</xdr:colOff>
                    <xdr:row>34</xdr:row>
                    <xdr:rowOff>228600</xdr:rowOff>
                  </to>
                </anchor>
              </controlPr>
            </control>
          </mc:Choice>
        </mc:AlternateContent>
        <mc:AlternateContent xmlns:mc="http://schemas.openxmlformats.org/markup-compatibility/2006">
          <mc:Choice Requires="x14">
            <control shapeId="62475" r:id="rId15" name="Check Box 11">
              <controlPr defaultSize="0" autoFill="0" autoLine="0" autoPict="0">
                <anchor moveWithCells="1">
                  <from>
                    <xdr:col>7</xdr:col>
                    <xdr:colOff>502920</xdr:colOff>
                    <xdr:row>35</xdr:row>
                    <xdr:rowOff>0</xdr:rowOff>
                  </from>
                  <to>
                    <xdr:col>7</xdr:col>
                    <xdr:colOff>754380</xdr:colOff>
                    <xdr:row>35</xdr:row>
                    <xdr:rowOff>228600</xdr:rowOff>
                  </to>
                </anchor>
              </controlPr>
            </control>
          </mc:Choice>
        </mc:AlternateContent>
        <mc:AlternateContent xmlns:mc="http://schemas.openxmlformats.org/markup-compatibility/2006">
          <mc:Choice Requires="x14">
            <control shapeId="62509" r:id="rId16" name="Check Box 45">
              <controlPr defaultSize="0" autoFill="0" autoLine="0" autoPict="0">
                <anchor moveWithCells="1">
                  <from>
                    <xdr:col>7</xdr:col>
                    <xdr:colOff>502920</xdr:colOff>
                    <xdr:row>39</xdr:row>
                    <xdr:rowOff>0</xdr:rowOff>
                  </from>
                  <to>
                    <xdr:col>7</xdr:col>
                    <xdr:colOff>754380</xdr:colOff>
                    <xdr:row>39</xdr:row>
                    <xdr:rowOff>228600</xdr:rowOff>
                  </to>
                </anchor>
              </controlPr>
            </control>
          </mc:Choice>
        </mc:AlternateContent>
        <mc:AlternateContent xmlns:mc="http://schemas.openxmlformats.org/markup-compatibility/2006">
          <mc:Choice Requires="x14">
            <control shapeId="62537" r:id="rId17" name="Check Box 73">
              <controlPr defaultSize="0" autoFill="0" autoLine="0" autoPict="0">
                <anchor moveWithCells="1">
                  <from>
                    <xdr:col>7</xdr:col>
                    <xdr:colOff>502920</xdr:colOff>
                    <xdr:row>32</xdr:row>
                    <xdr:rowOff>0</xdr:rowOff>
                  </from>
                  <to>
                    <xdr:col>7</xdr:col>
                    <xdr:colOff>937260</xdr:colOff>
                    <xdr:row>32</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x14:formula1>
            <xm:f>'[12]menus biomasse'!#REF!</xm:f>
          </x14:formula1>
          <xm:sqref>H260</xm:sqref>
        </x14:dataValidation>
        <x14:dataValidation type="list" allowBlank="1" showInputMessage="1" showErrorMessage="1">
          <x14:formula1>
            <xm:f>'menus geothermie'!$V$6:$V$11</xm:f>
          </x14:formula1>
          <xm:sqref>G29</xm:sqref>
        </x14:dataValidation>
        <x14:dataValidation type="list" allowBlank="1" showInputMessage="1">
          <x14:formula1>
            <xm:f>'menus geothermie'!$C$7:$C$9</xm:f>
          </x14:formula1>
          <xm:sqref>G28</xm:sqref>
        </x14:dataValidation>
        <x14:dataValidation type="list" allowBlank="1" showInputMessage="1" showErrorMessage="1">
          <x14:formula1>
            <xm:f>[11]menus!#REF!</xm:f>
          </x14:formula1>
          <xm:sqref>N142 N140 H220:H221 F166:M168 L151:M152</xm:sqref>
        </x14:dataValidation>
        <x14:dataValidation type="list" allowBlank="1" showInputMessage="1" showErrorMessage="1">
          <x14:formula1>
            <xm:f>'menus geothermie'!$AJ$7:$AJ$9</xm:f>
          </x14:formula1>
          <xm:sqref>G303</xm:sqref>
        </x14:dataValidation>
        <x14:dataValidation type="list" allowBlank="1" showInputMessage="1" showErrorMessage="1">
          <x14:formula1>
            <xm:f>'menus geothermie'!$AJ$13:$AJ$15</xm:f>
          </x14:formula1>
          <xm:sqref>G304</xm:sqref>
        </x14:dataValidation>
        <x14:dataValidation type="list" allowBlank="1" showInputMessage="1" showErrorMessage="1">
          <x14:formula1>
            <xm:f>'menus geothermie'!$AK$7:$AK$9</xm:f>
          </x14:formula1>
          <xm:sqref>H321:H323</xm:sqref>
        </x14:dataValidation>
        <x14:dataValidation type="list" allowBlank="1" showInputMessage="1" showErrorMessage="1">
          <x14:formula1>
            <xm:f>'menus geothermie'!$R$9:$R$10</xm:f>
          </x14:formula1>
          <xm:sqref>F128</xm:sqref>
        </x14:dataValidation>
        <x14:dataValidation type="list" allowBlank="1" showInputMessage="1" showErrorMessage="1">
          <x14:formula1>
            <xm:f>'menus geothermie'!$F$7:$F$9</xm:f>
          </x14:formula1>
          <xm:sqref>F136:L136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3"/>
  <sheetViews>
    <sheetView tabSelected="1" workbookViewId="0">
      <selection activeCell="I24" sqref="I24"/>
    </sheetView>
  </sheetViews>
  <sheetFormatPr defaultColWidth="11.5546875" defaultRowHeight="14.4"/>
  <cols>
    <col min="1" max="1" width="3.5546875" style="1" customWidth="1"/>
    <col min="2" max="2" width="38" customWidth="1"/>
    <col min="3" max="3" width="71.33203125" customWidth="1"/>
    <col min="4" max="6" width="20.5546875" customWidth="1"/>
    <col min="7" max="7" width="10.109375" customWidth="1"/>
    <col min="8" max="8" width="27.109375" customWidth="1"/>
    <col min="9" max="13" width="20.5546875" customWidth="1"/>
  </cols>
  <sheetData>
    <row r="1" spans="2:84" ht="29.25" customHeight="1" thickBot="1">
      <c r="B1" s="1670"/>
      <c r="C1" s="1669"/>
      <c r="D1" s="1668" t="s">
        <v>1239</v>
      </c>
      <c r="E1" s="1667"/>
      <c r="F1" s="1667"/>
      <c r="G1" s="1667"/>
      <c r="H1" s="1666"/>
      <c r="I1" s="1665"/>
      <c r="J1" s="1665"/>
      <c r="K1" s="1665"/>
      <c r="L1" s="1664"/>
      <c r="M1" s="1663"/>
      <c r="N1" s="1"/>
      <c r="O1" s="1"/>
      <c r="P1" s="1"/>
      <c r="Q1" s="1"/>
      <c r="R1" s="1"/>
      <c r="S1" s="10"/>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spans="2:84" ht="16.2">
      <c r="B2" s="2803" t="s">
        <v>1240</v>
      </c>
      <c r="C2" s="2804"/>
      <c r="D2" s="2804"/>
      <c r="E2" s="2804"/>
      <c r="F2" s="2804"/>
      <c r="G2" s="2804"/>
      <c r="H2" s="1662"/>
      <c r="I2" s="7"/>
      <c r="J2" s="7"/>
      <c r="K2" s="7"/>
      <c r="L2" s="1"/>
      <c r="M2" s="1661"/>
      <c r="N2" s="1"/>
      <c r="O2" s="1"/>
      <c r="P2" s="1"/>
      <c r="Q2" s="1"/>
      <c r="R2" s="1"/>
      <c r="S2" s="10"/>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row>
    <row r="3" spans="2:84">
      <c r="B3" s="2803"/>
      <c r="C3" s="2804"/>
      <c r="D3" s="2804"/>
      <c r="E3" s="2804"/>
      <c r="F3" s="2804"/>
      <c r="G3" s="2804"/>
      <c r="H3" s="1660"/>
      <c r="I3" s="103"/>
      <c r="J3" s="2807"/>
      <c r="K3" s="2808"/>
      <c r="L3" s="2808"/>
      <c r="M3" s="2808"/>
      <c r="N3" s="1"/>
      <c r="O3" s="1"/>
      <c r="P3" s="1"/>
      <c r="Q3" s="1"/>
      <c r="R3" s="1"/>
      <c r="S3" s="10"/>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2:84" ht="15" thickBot="1">
      <c r="B4" s="2805"/>
      <c r="C4" s="2806"/>
      <c r="D4" s="2806"/>
      <c r="E4" s="2806"/>
      <c r="F4" s="2806"/>
      <c r="G4" s="2806"/>
      <c r="H4" s="1660"/>
      <c r="I4" s="103"/>
      <c r="J4" s="2807"/>
      <c r="K4" s="2808"/>
      <c r="L4" s="2808"/>
      <c r="M4" s="2808"/>
      <c r="N4" s="1"/>
      <c r="O4" s="1"/>
      <c r="P4" s="1"/>
      <c r="Q4" s="1"/>
      <c r="R4" s="1"/>
      <c r="S4" s="10"/>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2:84">
      <c r="B5" s="2809" t="str">
        <f>'Fiche projet géothermie'!nom_prj</f>
        <v xml:space="preserve"> </v>
      </c>
      <c r="C5" s="2087"/>
      <c r="D5" s="2087"/>
      <c r="E5" s="2087"/>
      <c r="F5" s="2087"/>
      <c r="G5" s="2810"/>
      <c r="H5" s="1660"/>
      <c r="I5" s="103"/>
      <c r="J5" s="2807"/>
      <c r="K5" s="2808"/>
      <c r="L5" s="2808"/>
      <c r="M5" s="2808"/>
      <c r="N5" s="1"/>
      <c r="O5" s="1"/>
      <c r="P5" s="1"/>
      <c r="Q5" s="1"/>
      <c r="R5" s="1"/>
      <c r="S5" s="10"/>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2:84">
      <c r="B6" s="2811"/>
      <c r="C6" s="2089"/>
      <c r="D6" s="2089"/>
      <c r="E6" s="2089"/>
      <c r="F6" s="2089"/>
      <c r="G6" s="2812"/>
      <c r="H6" s="1660"/>
      <c r="I6" s="103"/>
      <c r="J6" s="2807"/>
      <c r="K6" s="2808"/>
      <c r="L6" s="2808"/>
      <c r="M6" s="2808"/>
      <c r="N6" s="1"/>
      <c r="O6" s="1"/>
      <c r="P6" s="1"/>
      <c r="Q6" s="1"/>
      <c r="R6" s="1"/>
      <c r="S6" s="10"/>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2:84" ht="15" thickBot="1">
      <c r="B7" s="2813"/>
      <c r="C7" s="2814"/>
      <c r="D7" s="2814"/>
      <c r="E7" s="2814" t="b">
        <v>0</v>
      </c>
      <c r="F7" s="2814"/>
      <c r="G7" s="2815" t="b">
        <v>0</v>
      </c>
      <c r="H7" s="1659"/>
      <c r="I7" s="103"/>
      <c r="J7" s="2807"/>
      <c r="K7" s="2808"/>
      <c r="L7" s="2808"/>
      <c r="M7" s="2808"/>
      <c r="N7" s="1"/>
      <c r="O7" s="1"/>
      <c r="P7" s="1"/>
      <c r="Q7" s="1"/>
      <c r="R7" s="1"/>
      <c r="S7" s="10"/>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2:84" ht="30" customHeight="1">
      <c r="B8" s="1658" t="s">
        <v>1238</v>
      </c>
      <c r="C8" s="2816" t="str">
        <f>'Fiche projet géothermie'!E48</f>
        <v xml:space="preserve"> </v>
      </c>
      <c r="D8" s="2816"/>
      <c r="E8" s="1657" t="s">
        <v>1011</v>
      </c>
      <c r="F8" s="1656" t="s">
        <v>1011</v>
      </c>
      <c r="G8" s="1655" t="s">
        <v>1011</v>
      </c>
      <c r="H8" s="1654"/>
      <c r="I8" s="1"/>
      <c r="J8" s="213"/>
      <c r="K8" s="213"/>
      <c r="L8" s="213"/>
      <c r="M8" s="213"/>
      <c r="N8" s="1"/>
      <c r="O8" s="1"/>
      <c r="P8" s="1"/>
      <c r="Q8" s="1"/>
      <c r="R8" s="1"/>
      <c r="S8" s="10"/>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2:84" ht="30" customHeight="1">
      <c r="B9" s="1653" t="s">
        <v>1237</v>
      </c>
      <c r="C9" s="2817" t="str">
        <f>'Fiche projet géothermie'!G23</f>
        <v xml:space="preserve"> </v>
      </c>
      <c r="D9" s="2817"/>
      <c r="E9" s="1652"/>
      <c r="F9" s="1651"/>
      <c r="G9" s="1673" t="s">
        <v>1011</v>
      </c>
      <c r="H9" s="1639"/>
      <c r="I9" s="7"/>
      <c r="J9" s="213"/>
      <c r="K9" s="213"/>
      <c r="L9" s="213"/>
      <c r="M9" s="213"/>
      <c r="N9" s="1"/>
      <c r="O9" s="1"/>
      <c r="P9" s="1"/>
      <c r="Q9" s="1"/>
      <c r="R9" s="1"/>
      <c r="S9" s="10"/>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2:84" ht="16.2">
      <c r="B10" s="1653" t="s">
        <v>1243</v>
      </c>
      <c r="C10" s="1652" t="str">
        <f>IF(ch_sondes=TRUE,"Géothermie sur sondes ", IF(ch_nappe=TRUE,"Géothermie sur nappe ", IF(ch_eauxusees=TRUE,"Géothermie sur EU ")))</f>
        <v xml:space="preserve">Géothermie sur sondes </v>
      </c>
      <c r="D10" s="1652"/>
      <c r="E10" s="1652"/>
      <c r="F10" s="1651"/>
      <c r="G10" s="1672" t="s">
        <v>1011</v>
      </c>
      <c r="H10" s="1674" t="s">
        <v>1011</v>
      </c>
      <c r="I10" s="7"/>
      <c r="J10" s="213"/>
      <c r="K10" s="213"/>
      <c r="L10" s="213"/>
      <c r="M10" s="213"/>
      <c r="N10" s="1"/>
      <c r="O10" s="1"/>
      <c r="P10" s="1"/>
      <c r="Q10" s="1"/>
      <c r="R10" s="1"/>
      <c r="S10" s="10"/>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2:84" ht="29.25" customHeight="1">
      <c r="B11" s="1653" t="s">
        <v>1242</v>
      </c>
      <c r="C11" s="1647" t="s">
        <v>1011</v>
      </c>
      <c r="D11" s="1650" t="str">
        <f>'Fiche projet géothermie'!G147</f>
        <v xml:space="preserve"> </v>
      </c>
      <c r="E11" s="1647"/>
      <c r="F11" s="1650" t="s">
        <v>1011</v>
      </c>
      <c r="G11" s="1672" t="s">
        <v>1011</v>
      </c>
      <c r="H11" s="1674" t="s">
        <v>1011</v>
      </c>
      <c r="I11" s="7"/>
      <c r="J11" s="213"/>
      <c r="K11" s="213"/>
      <c r="L11" s="213"/>
      <c r="M11" s="213"/>
      <c r="N11" s="1"/>
      <c r="O11" s="1"/>
      <c r="P11" s="1"/>
      <c r="Q11" s="1"/>
      <c r="R11" s="1"/>
      <c r="S11" s="10"/>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2:84" ht="18">
      <c r="B12" s="1671" t="e">
        <f>'Fiche projet géothermie'!H283</f>
        <v>#VALUE!</v>
      </c>
      <c r="C12" s="1647" t="s">
        <v>1244</v>
      </c>
      <c r="D12" s="1647"/>
      <c r="E12" s="1647" t="s">
        <v>1011</v>
      </c>
      <c r="F12" s="1647" t="s">
        <v>1011</v>
      </c>
      <c r="G12" s="1672" t="s">
        <v>1011</v>
      </c>
      <c r="H12" s="1674" t="s">
        <v>1011</v>
      </c>
      <c r="I12" s="1645"/>
      <c r="J12" s="1645"/>
      <c r="K12" s="1645"/>
      <c r="L12" s="1645"/>
      <c r="M12" s="213"/>
      <c r="N12" s="1"/>
      <c r="O12" s="1"/>
      <c r="P12" s="1"/>
      <c r="Q12" s="1"/>
      <c r="R12" s="1"/>
      <c r="S12" s="10"/>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2:84" ht="18">
      <c r="B13" s="1671">
        <f>'Fiche projet géothermie'!H285</f>
        <v>0</v>
      </c>
      <c r="C13" s="1647" t="s">
        <v>1245</v>
      </c>
      <c r="D13" s="1647"/>
      <c r="E13" s="1647"/>
      <c r="F13" s="1647"/>
      <c r="G13" s="1672" t="s">
        <v>1011</v>
      </c>
      <c r="H13" s="1674" t="s">
        <v>1011</v>
      </c>
      <c r="I13" s="1645"/>
      <c r="J13" s="1645"/>
      <c r="K13" s="1645"/>
      <c r="L13" s="1645"/>
      <c r="M13" s="213"/>
      <c r="N13" s="1"/>
      <c r="O13" s="1"/>
      <c r="P13" s="1"/>
      <c r="Q13" s="1"/>
      <c r="R13" s="1"/>
      <c r="S13" s="1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2:84" ht="18">
      <c r="B14" s="1649" t="e">
        <f>'Fiche projet géothermie'!H284</f>
        <v>#VALUE!</v>
      </c>
      <c r="C14" s="1647" t="s">
        <v>1246</v>
      </c>
      <c r="D14" s="1647"/>
      <c r="E14" s="1647"/>
      <c r="F14" s="1647"/>
      <c r="G14" s="1672" t="s">
        <v>1011</v>
      </c>
      <c r="H14" s="1674" t="s">
        <v>1011</v>
      </c>
      <c r="I14" s="1645"/>
      <c r="J14" s="1645"/>
      <c r="K14" s="1645"/>
      <c r="L14" s="1645"/>
      <c r="M14" s="213"/>
      <c r="N14" s="1"/>
      <c r="O14" s="1"/>
      <c r="P14" s="1"/>
      <c r="Q14" s="1"/>
      <c r="R14" s="1"/>
      <c r="S14" s="10"/>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2:84" ht="30" customHeight="1">
      <c r="B15" s="1649" t="str">
        <f>IF('Fiche projet géothermie'!G304="Création",'Fiche projet géothermie'!G305,IF('Fiche projet géothermie'!G304="Extension",'Fiche projet géothermie'!G305,""))</f>
        <v/>
      </c>
      <c r="C15" s="1647" t="str">
        <f>IF('Fiche projet géothermie'!G304="Création","ml de réseau de chaleur créé",IF('Fiche projet géothermie'!G304="Extension","ml de réseau de chaleur étendu",""))</f>
        <v/>
      </c>
      <c r="E15" s="1648"/>
      <c r="F15" s="1647"/>
      <c r="G15" s="1646" t="s">
        <v>1011</v>
      </c>
      <c r="H15" s="1639"/>
      <c r="I15" s="1645"/>
      <c r="J15" s="1645"/>
      <c r="K15" s="1645"/>
      <c r="L15" s="1645"/>
      <c r="M15" s="213"/>
      <c r="N15" s="1"/>
      <c r="O15" s="1"/>
      <c r="P15" s="1"/>
      <c r="Q15" s="1"/>
      <c r="R15" s="1"/>
      <c r="S15" s="10"/>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2:84" ht="30" customHeight="1">
      <c r="B16" s="1644" t="e">
        <f>'Fiche projet géothermie'!E336</f>
        <v>#VALUE!</v>
      </c>
      <c r="C16" s="1643" t="s">
        <v>1236</v>
      </c>
      <c r="D16" s="1643" t="s">
        <v>1235</v>
      </c>
      <c r="E16" s="1642" t="e">
        <f>'Fiche projet géothermie'!E342</f>
        <v>#VALUE!</v>
      </c>
      <c r="F16" s="1641" t="s">
        <v>1234</v>
      </c>
      <c r="G16" s="1640" t="str">
        <f>IF('[3]Fiche projet biomasse'!J246&lt;&gt;0,"avec cofinancement","")</f>
        <v/>
      </c>
      <c r="H16" s="1639"/>
      <c r="I16" s="7"/>
      <c r="J16" s="213"/>
      <c r="K16" s="213"/>
      <c r="L16" s="213"/>
      <c r="M16" s="213"/>
      <c r="N16" s="1"/>
      <c r="O16" s="1"/>
      <c r="P16" s="1"/>
      <c r="Q16" s="1"/>
      <c r="R16" s="1"/>
      <c r="S16" s="10"/>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2:84" ht="30" customHeight="1" thickBot="1">
      <c r="B17" s="1638" t="s">
        <v>1233</v>
      </c>
      <c r="C17" s="1637" t="e">
        <f>'Fiche projet géothermie'!F336</f>
        <v>#VALUE!</v>
      </c>
      <c r="D17" s="1636" t="s">
        <v>1232</v>
      </c>
      <c r="F17" s="1641"/>
      <c r="G17" s="1636"/>
      <c r="H17" s="1635"/>
      <c r="I17" s="7"/>
      <c r="J17" s="213"/>
      <c r="K17" s="213"/>
      <c r="L17" s="213"/>
      <c r="M17" s="213"/>
      <c r="N17" s="1"/>
      <c r="O17" s="1"/>
      <c r="P17" s="1"/>
      <c r="Q17" s="1"/>
      <c r="R17" s="1"/>
      <c r="S17" s="10"/>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2:84" ht="30" customHeight="1">
      <c r="B18" s="1634" t="s">
        <v>1231</v>
      </c>
      <c r="C18" s="521"/>
      <c r="D18" s="1676"/>
      <c r="E18" s="1679"/>
      <c r="F18" s="1681"/>
      <c r="G18" s="1684"/>
      <c r="H18" s="522"/>
      <c r="I18" s="7"/>
      <c r="J18" s="213"/>
      <c r="K18" s="213"/>
      <c r="L18" s="213"/>
      <c r="M18" s="213"/>
      <c r="N18" s="1"/>
      <c r="O18" s="1"/>
      <c r="P18" s="1"/>
      <c r="Q18" s="1"/>
      <c r="R18" s="1"/>
      <c r="S18" s="10"/>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2:84" ht="41.25" customHeight="1">
      <c r="B19" s="2818" t="s">
        <v>1263</v>
      </c>
      <c r="C19" s="2819"/>
      <c r="D19" s="1688" t="str">
        <f>IF('Fiche projet géothermie'!B80="oui","oui","non")</f>
        <v>oui</v>
      </c>
      <c r="E19" s="1129"/>
      <c r="F19" s="1639"/>
      <c r="G19" s="522"/>
      <c r="H19" s="522"/>
      <c r="I19" s="7"/>
      <c r="J19" s="213"/>
      <c r="K19" s="213"/>
      <c r="L19" s="213"/>
      <c r="M19" s="213"/>
      <c r="N19" s="1"/>
      <c r="O19" s="1"/>
      <c r="P19" s="1"/>
      <c r="Q19" s="1"/>
      <c r="R19" s="1"/>
      <c r="S19" s="10"/>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2:84" ht="25.5" customHeight="1">
      <c r="B20" s="2818" t="s">
        <v>1256</v>
      </c>
      <c r="C20" s="2819"/>
      <c r="D20" s="1688" t="str">
        <f>IF('Fiche projet géothermie'!B81="oui","oui","non")</f>
        <v>oui</v>
      </c>
      <c r="E20" s="1129"/>
      <c r="F20" s="1639"/>
      <c r="G20" s="522"/>
      <c r="H20" s="522"/>
      <c r="I20" s="7"/>
      <c r="J20" s="213"/>
      <c r="K20" s="213"/>
      <c r="L20" s="213"/>
      <c r="M20" s="213"/>
      <c r="N20" s="1"/>
      <c r="O20" s="1"/>
      <c r="P20" s="1"/>
      <c r="Q20" s="1"/>
      <c r="R20" s="1"/>
      <c r="S20" s="10"/>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2:84" ht="43.5" customHeight="1">
      <c r="B21" s="1628" t="s">
        <v>1254</v>
      </c>
      <c r="C21" s="1633"/>
      <c r="D21" s="1677" t="str">
        <f>IF('Fiche projet géothermie'!H255="oui","oui","non éligible")</f>
        <v>oui</v>
      </c>
      <c r="E21" s="1678"/>
      <c r="F21" s="220"/>
      <c r="G21" s="1631"/>
      <c r="H21" s="1"/>
      <c r="I21" s="1"/>
      <c r="J21" s="1632"/>
      <c r="K21" s="1629"/>
      <c r="L21" s="1629"/>
      <c r="P21" s="1"/>
      <c r="Q21" s="1"/>
      <c r="R21" s="1"/>
      <c r="S21" s="10"/>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2:84" ht="35.25" customHeight="1">
      <c r="B22" s="1628" t="s">
        <v>1252</v>
      </c>
      <c r="C22" s="1633"/>
      <c r="D22" s="1677" t="str">
        <f>IF([0]!ch_BEt_et_sous_sol="oui","oui", IF(ch_BEt_et_sous_sol="non","non",IF(ch_BEt_et_sous_sol="non concerné","")))</f>
        <v/>
      </c>
      <c r="E22" s="1678"/>
      <c r="F22" s="1"/>
      <c r="G22" s="1682"/>
      <c r="H22" s="1"/>
      <c r="I22" s="1"/>
      <c r="J22" s="1632"/>
      <c r="K22" s="1629"/>
      <c r="L22" s="1629"/>
      <c r="P22" s="1"/>
      <c r="Q22" s="1"/>
      <c r="R22" s="1"/>
      <c r="S22" s="10"/>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2:84" ht="27" customHeight="1">
      <c r="B23" s="1628" t="s">
        <v>1253</v>
      </c>
      <c r="C23" s="1633"/>
      <c r="D23" s="1677" t="str">
        <f>'Fiche projet géothermie'!B79</f>
        <v>oui</v>
      </c>
      <c r="E23" s="1678"/>
      <c r="F23" s="1"/>
      <c r="G23" s="1682"/>
      <c r="H23" s="1"/>
      <c r="I23" s="1"/>
      <c r="J23" s="1632"/>
      <c r="K23" s="1629"/>
      <c r="L23" s="1629"/>
      <c r="P23" s="1"/>
      <c r="Q23" s="1"/>
      <c r="R23" s="1"/>
      <c r="S23" s="10"/>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2:84" ht="18" customHeight="1">
      <c r="B24" s="1628" t="s">
        <v>1257</v>
      </c>
      <c r="C24" s="1623"/>
      <c r="D24" s="1623" t="str">
        <f>IF(AND('Fiche projet géothermie'!H289="oui",'Fiche projet géothermie'!H290="oui",'Fiche projet géothermie'!H292="oui",'Fiche projet géothermie'!H291="oui"),"oui","Non éligible")</f>
        <v>oui</v>
      </c>
      <c r="E24" s="1678"/>
      <c r="F24" s="220"/>
      <c r="G24" s="1631"/>
      <c r="H24" s="1"/>
      <c r="I24" s="1"/>
      <c r="J24" s="1630"/>
      <c r="K24" s="1629"/>
      <c r="L24" s="1629"/>
    </row>
    <row r="25" spans="2:84" ht="22.5" customHeight="1">
      <c r="B25" s="1628" t="s">
        <v>1258</v>
      </c>
      <c r="C25" s="1623"/>
      <c r="D25" s="1623" t="str">
        <f>IF('Fiche projet géothermie'!H293="oui","oui",IF('Fiche projet géothermie'!H293="non concerné","",IF('Fiche projet géothermie'!H293="non","non éligible" )))</f>
        <v>oui</v>
      </c>
      <c r="E25" s="1673" t="s">
        <v>1011</v>
      </c>
      <c r="F25" s="1639"/>
      <c r="G25" s="1631"/>
      <c r="H25" s="1"/>
      <c r="I25" s="1"/>
      <c r="J25" s="1630"/>
      <c r="K25" s="1629"/>
      <c r="L25" s="1629"/>
    </row>
    <row r="26" spans="2:84" ht="21" customHeight="1">
      <c r="B26" s="1628" t="s">
        <v>1255</v>
      </c>
      <c r="C26" s="1623"/>
      <c r="D26" s="1623"/>
      <c r="E26" s="1673"/>
      <c r="F26" s="1639"/>
      <c r="G26" s="1631"/>
      <c r="H26" s="1"/>
      <c r="I26" s="1"/>
      <c r="J26" s="1630"/>
      <c r="K26" s="1629"/>
      <c r="L26" s="1629"/>
    </row>
    <row r="27" spans="2:84">
      <c r="B27" s="1628" t="s">
        <v>1250</v>
      </c>
      <c r="C27" s="1623"/>
      <c r="D27" s="1677" t="str">
        <f>IF('Fiche projet géothermie'!ch_sondes=TRUE,'Fiche projet géothermie'!H267,IF('Fiche projet géothermie'!ch_nappe=TRUE,'Fiche projet géothermie'!H260,IF('Fiche projet géothermie'!ch_eauxusees=TRUE,'Fiche projet géothermie'!H274)))</f>
        <v>oui</v>
      </c>
      <c r="E27" s="1672" t="s">
        <v>610</v>
      </c>
      <c r="F27" s="1674" t="str">
        <f>cop_chaud</f>
        <v xml:space="preserve"> </v>
      </c>
      <c r="G27" s="1631"/>
      <c r="H27" s="1"/>
      <c r="I27" s="1"/>
      <c r="J27" s="1630"/>
      <c r="K27" s="2802">
        <f>IFERROR((IF(ch_nature_activite=chnoneco,VLOOKUP(ch_localisation,intensité_prod_enrr_non_eco,3,FALSE),VLOOKUP(ch_nature_activite&amp;"-"&amp;ch_taille&amp;"-"&amp;ch_localisation,intensité_prod_enrr_eco,2,FALSE))+0.1)*G28,0)</f>
        <v>0</v>
      </c>
      <c r="L27" s="2802"/>
    </row>
    <row r="28" spans="2:84">
      <c r="B28" s="1628" t="s">
        <v>1249</v>
      </c>
      <c r="C28" s="1623"/>
      <c r="D28" s="1677" t="e">
        <f>IF('Fiche projet géothermie'!ch_sondes=TRUE,'Fiche projet géothermie'!H270,IF('Fiche projet géothermie'!ch_nappe=TRUE,'Fiche projet géothermie'!H263,IF('Fiche projet géothermie'!ch_eauxusees=TRUE,'Fiche projet géothermie'!H277)))</f>
        <v>#VALUE!</v>
      </c>
      <c r="E28" s="1672" t="s">
        <v>927</v>
      </c>
      <c r="F28" s="1674" t="e">
        <f>scop_chaud</f>
        <v>#VALUE!</v>
      </c>
      <c r="G28" s="1631"/>
      <c r="H28" s="1"/>
      <c r="I28" s="1"/>
      <c r="J28" s="1630"/>
      <c r="K28" s="1629"/>
      <c r="L28" s="1629"/>
    </row>
    <row r="29" spans="2:84">
      <c r="B29" s="1628" t="str">
        <f>IF(ch_froidactif=TRUE,"EER","")</f>
        <v>EER</v>
      </c>
      <c r="C29" s="1623"/>
      <c r="D29" s="1677" t="str">
        <f>IF('Fiche projet géothermie'!ch_sondes=TRUE,'Fiche projet géothermie'!H268,IF('Fiche projet géothermie'!ch_nappe=TRUE,'Fiche projet géothermie'!H261,IF('Fiche projet géothermie'!ch_eauxusees=TRUE,'Fiche projet géothermie'!H275)))</f>
        <v>oui</v>
      </c>
      <c r="E29" s="1672" t="s">
        <v>1247</v>
      </c>
      <c r="F29" s="1674" t="str">
        <f>eer_froidactif</f>
        <v xml:space="preserve"> </v>
      </c>
      <c r="G29" s="1631"/>
      <c r="H29" s="1"/>
      <c r="I29" s="1"/>
      <c r="J29" s="1630"/>
      <c r="K29" s="1629"/>
      <c r="L29" s="1629"/>
    </row>
    <row r="30" spans="2:84">
      <c r="B30" s="1628" t="str">
        <f>IF(ch_froidactif=TRUE,"SEER","")</f>
        <v>SEER</v>
      </c>
      <c r="C30" s="1623"/>
      <c r="D30" s="1677" t="e">
        <f>IF('Fiche projet géothermie'!ch_sondes=TRUE,'Fiche projet géothermie'!H269,IF('Fiche projet géothermie'!ch_nappe=TRUE,'Fiche projet géothermie'!H262,IF('Fiche projet géothermie'!ch_eauxusees=TRUE,'Fiche projet géothermie'!H276)))</f>
        <v>#VALUE!</v>
      </c>
      <c r="E30" s="1672" t="s">
        <v>928</v>
      </c>
      <c r="F30" s="1674" t="e">
        <f>seer</f>
        <v>#VALUE!</v>
      </c>
      <c r="G30" s="1631"/>
      <c r="H30" s="1"/>
      <c r="I30" s="1"/>
      <c r="J30" s="1630"/>
      <c r="K30" s="1629"/>
      <c r="L30" s="1629"/>
    </row>
    <row r="31" spans="2:84">
      <c r="B31" s="1628" t="str">
        <f>IF(ch_geocooling=TRUE,"EFFICACITE GEOCOOLING","")</f>
        <v/>
      </c>
      <c r="C31" s="1623"/>
      <c r="D31" s="1677" t="str">
        <f>IF(AND(ch_geocooling=TRUE,"",'Fiche projet géothermie'!H281="oui"),"oui","non")</f>
        <v>non</v>
      </c>
      <c r="E31" s="1672" t="s">
        <v>1248</v>
      </c>
      <c r="F31" s="1674">
        <f>'Fiche projet géothermie'!J153</f>
        <v>18</v>
      </c>
      <c r="G31" s="1631"/>
      <c r="H31" s="1"/>
      <c r="I31" s="1"/>
      <c r="J31" s="1630"/>
      <c r="K31" s="1629"/>
      <c r="L31" s="1629"/>
    </row>
    <row r="32" spans="2:84">
      <c r="B32" s="1628" t="s">
        <v>1306</v>
      </c>
      <c r="C32" s="1623"/>
      <c r="D32" s="1623" t="e">
        <f>IF('Fiche projet géothermie'!G156&gt;=1000,"oui","non conforme")</f>
        <v>#VALUE!</v>
      </c>
      <c r="E32" s="1672" t="s">
        <v>1251</v>
      </c>
      <c r="F32" s="1674" t="e">
        <f>'Fiche projet géothermie'!G156</f>
        <v>#VALUE!</v>
      </c>
      <c r="G32" s="1627"/>
      <c r="H32" s="1"/>
      <c r="I32" s="1"/>
      <c r="J32" s="1630"/>
      <c r="K32" s="1629"/>
      <c r="L32" s="1629"/>
    </row>
    <row r="33" spans="2:9" ht="15" thickBot="1">
      <c r="B33" s="1626" t="str">
        <f>IF('[3]Fiche projet biomasse'!G188&lt;&gt;"Pas de réseau de chaleur","Eligibilité du réseau de chaleur","")</f>
        <v/>
      </c>
      <c r="C33" s="1625"/>
      <c r="D33" s="1625" t="str">
        <f>IF('[3]Fiche projet biomasse'!G188&lt;&gt;"Pas de réseau de chaleur",IF(AND('[3]Fiche projet biomasse'!H228="ok",'[3]Fiche projet biomasse'!H229="ok"),"ok","non éligible));"""),"")</f>
        <v/>
      </c>
      <c r="E33" s="1680"/>
      <c r="F33" s="1683"/>
      <c r="G33" s="1624"/>
      <c r="H33" s="1"/>
      <c r="I33" s="1"/>
    </row>
  </sheetData>
  <mergeCells count="8">
    <mergeCell ref="K27:L27"/>
    <mergeCell ref="B2:G4"/>
    <mergeCell ref="J3:M7"/>
    <mergeCell ref="B5:G7"/>
    <mergeCell ref="C8:D8"/>
    <mergeCell ref="C9:D9"/>
    <mergeCell ref="B19:C19"/>
    <mergeCell ref="B20:C20"/>
  </mergeCells>
  <conditionalFormatting sqref="D19:D33">
    <cfRule type="cellIs" dxfId="204" priority="6" operator="equal">
      <formula>"non"</formula>
    </cfRule>
    <cfRule type="cellIs" dxfId="203" priority="11" operator="equal">
      <formula>"oui"</formula>
    </cfRule>
  </conditionalFormatting>
  <conditionalFormatting sqref="D29:F30">
    <cfRule type="expression" dxfId="202" priority="7">
      <formula>ch_froidactif=FALSE</formula>
    </cfRule>
  </conditionalFormatting>
  <conditionalFormatting sqref="E24">
    <cfRule type="expression" dxfId="201" priority="9">
      <formula>ch_nature_activite&lt;&gt;checo</formula>
    </cfRule>
  </conditionalFormatting>
  <conditionalFormatting sqref="D31:F31">
    <cfRule type="expression" dxfId="200" priority="1">
      <formula>ch_geocooling=FALSE</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C7FE12A5-A111-4D06-BA18-6754E4470201}">
            <xm:f>'Fiche projet géothermie'!$H$37=FALSE</xm:f>
            <x14:dxf>
              <font>
                <color theme="0"/>
              </font>
            </x14:dxf>
          </x14:cfRule>
          <xm:sqref>B25</xm:sqref>
        </x14:conditionalFormatting>
        <x14:conditionalFormatting xmlns:xm="http://schemas.microsoft.com/office/excel/2006/main">
          <x14:cfRule type="expression" priority="4" id="{00000000-000E-0000-0500-000001000000}">
            <xm:f>'Fiche projet géothermie'!$H$30=FALSE</xm:f>
            <x14:dxf>
              <font>
                <color theme="0"/>
              </font>
              <fill>
                <patternFill>
                  <bgColor theme="0"/>
                </patternFill>
              </fill>
            </x14:dxf>
          </x14:cfRule>
          <xm:sqref>B22:D22</xm:sqref>
        </x14:conditionalFormatting>
        <x14:conditionalFormatting xmlns:xm="http://schemas.microsoft.com/office/excel/2006/main">
          <x14:cfRule type="expression" priority="5" id="{2E6E1B24-7EBC-4DC1-B918-4C90A1659445}">
            <xm:f>'Fiche projet géothermie'!$H$37=FALSE</xm:f>
            <x14:dxf>
              <fill>
                <patternFill>
                  <bgColor theme="0"/>
                </patternFill>
              </fill>
            </x14:dxf>
          </x14:cfRule>
          <xm:sqref>D31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U34"/>
  <sheetViews>
    <sheetView zoomScale="90" zoomScaleNormal="90" workbookViewId="0">
      <selection activeCell="G10" sqref="G10"/>
    </sheetView>
  </sheetViews>
  <sheetFormatPr defaultColWidth="11.44140625" defaultRowHeight="14.4"/>
  <cols>
    <col min="1" max="1" width="3.44140625" style="1" customWidth="1"/>
    <col min="2" max="2" width="23.33203125" customWidth="1"/>
    <col min="3" max="3" width="20.5546875" customWidth="1"/>
    <col min="4" max="4" width="19.109375" customWidth="1"/>
    <col min="5" max="5" width="30" customWidth="1"/>
    <col min="6" max="6" width="18.88671875" customWidth="1"/>
    <col min="7" max="7" width="22.44140625" customWidth="1"/>
    <col min="8" max="8" width="19.6640625" style="1" customWidth="1"/>
    <col min="9" max="9" width="27.6640625" customWidth="1"/>
    <col min="10" max="10" width="21.33203125" customWidth="1"/>
    <col min="11" max="11" width="11.44140625" customWidth="1"/>
    <col min="13" max="14" width="11.44140625" style="1"/>
    <col min="15" max="15" width="32.88671875" style="1" customWidth="1"/>
    <col min="16" max="21" width="11.44140625" style="1"/>
  </cols>
  <sheetData>
    <row r="1" spans="1:15" s="1" customFormat="1" ht="15" customHeight="1">
      <c r="B1" s="2823" t="s">
        <v>1102</v>
      </c>
      <c r="C1" s="2823"/>
      <c r="D1" s="2823"/>
      <c r="E1" s="2823"/>
      <c r="F1" s="2823"/>
      <c r="G1" s="2823"/>
      <c r="L1" s="189"/>
    </row>
    <row r="2" spans="1:15" s="1" customFormat="1" ht="15" customHeight="1">
      <c r="B2" s="2823"/>
      <c r="C2" s="2823"/>
      <c r="D2" s="2823"/>
      <c r="E2" s="2823"/>
      <c r="F2" s="2823"/>
      <c r="G2" s="2823"/>
      <c r="L2" s="189"/>
    </row>
    <row r="3" spans="1:15" s="1" customFormat="1" ht="18.75" customHeight="1">
      <c r="A3" s="1308"/>
      <c r="B3" s="1522" t="s">
        <v>576</v>
      </c>
      <c r="C3" s="1523"/>
      <c r="D3" s="1522"/>
      <c r="E3" s="1522"/>
      <c r="F3" s="1522"/>
      <c r="G3" s="1522"/>
      <c r="H3" s="1308"/>
      <c r="I3" s="1308"/>
      <c r="J3" s="1308"/>
      <c r="K3" s="1308"/>
      <c r="L3" s="1376"/>
    </row>
    <row r="4" spans="1:15" s="1" customFormat="1" ht="5.25" customHeight="1">
      <c r="A4" s="1308"/>
      <c r="B4" s="1308"/>
      <c r="C4" s="1308"/>
      <c r="D4" s="1308"/>
      <c r="E4" s="1308"/>
      <c r="F4" s="1308"/>
      <c r="G4" s="1308"/>
      <c r="H4" s="1308"/>
      <c r="I4" s="1308"/>
      <c r="J4" s="1308"/>
      <c r="K4" s="1308"/>
      <c r="L4" s="1376"/>
    </row>
    <row r="5" spans="1:15" s="1" customFormat="1">
      <c r="A5" s="1308"/>
      <c r="B5" s="1308"/>
      <c r="C5" s="1308"/>
      <c r="D5" s="1308"/>
      <c r="E5" s="1308"/>
      <c r="F5" s="1308"/>
      <c r="G5" s="1308"/>
      <c r="H5" s="1308"/>
      <c r="I5" s="1308"/>
      <c r="J5" s="1308"/>
      <c r="K5" s="1308"/>
      <c r="L5" s="1376"/>
    </row>
    <row r="6" spans="1:15" ht="15.6">
      <c r="A6" s="1308"/>
      <c r="B6" s="2830" t="s">
        <v>1223</v>
      </c>
      <c r="C6" s="2831"/>
      <c r="D6" s="2831"/>
      <c r="E6" s="2831"/>
      <c r="F6" s="2831"/>
      <c r="G6" s="2832"/>
      <c r="H6" s="1308"/>
      <c r="I6" s="1308"/>
      <c r="J6" s="1308"/>
      <c r="K6" s="1308"/>
      <c r="L6" s="1376"/>
    </row>
    <row r="7" spans="1:15" ht="31.5" customHeight="1">
      <c r="A7" s="1308"/>
      <c r="B7" s="1524" t="s">
        <v>579</v>
      </c>
      <c r="C7" s="2833"/>
      <c r="D7" s="2833"/>
      <c r="E7" s="1526"/>
      <c r="F7" s="1525" t="s">
        <v>580</v>
      </c>
      <c r="G7" s="1527" t="s">
        <v>344</v>
      </c>
      <c r="H7" s="1308"/>
      <c r="I7" s="1528" t="s">
        <v>348</v>
      </c>
      <c r="J7" s="1528"/>
      <c r="K7" s="1528"/>
      <c r="L7" s="1376"/>
      <c r="O7" s="1307" t="s">
        <v>1101</v>
      </c>
    </row>
    <row r="8" spans="1:15" ht="16.5" customHeight="1">
      <c r="A8" s="1308"/>
      <c r="B8" s="2834" t="s">
        <v>581</v>
      </c>
      <c r="C8" s="2836"/>
      <c r="D8" s="2836"/>
      <c r="E8" s="2838" t="s">
        <v>1129</v>
      </c>
      <c r="F8" s="2842" t="e">
        <f>'Fiche projet géothermie'!H283</f>
        <v>#VALUE!</v>
      </c>
      <c r="G8" s="2840" t="e">
        <f>IF(B8="PAC eau de nappe, mer, eaux usées",F8*K10*20,IF(B8="PAC champ de sondes",F8*K11*20,0))</f>
        <v>#VALUE!</v>
      </c>
      <c r="H8" s="1308"/>
      <c r="I8" s="1529" t="s">
        <v>347</v>
      </c>
      <c r="J8" s="1530">
        <v>44713</v>
      </c>
      <c r="K8" s="1531"/>
      <c r="L8" s="1376"/>
      <c r="O8" s="1307" t="s">
        <v>581</v>
      </c>
    </row>
    <row r="9" spans="1:15" ht="36.75" customHeight="1">
      <c r="A9" s="1308"/>
      <c r="B9" s="2835"/>
      <c r="C9" s="2837"/>
      <c r="D9" s="2837"/>
      <c r="E9" s="2839"/>
      <c r="F9" s="2843"/>
      <c r="G9" s="2841"/>
      <c r="H9" s="1308"/>
      <c r="I9" s="2824" t="s">
        <v>577</v>
      </c>
      <c r="J9" s="1532" t="s">
        <v>578</v>
      </c>
      <c r="K9" s="1533" t="s">
        <v>345</v>
      </c>
      <c r="L9" s="1376"/>
      <c r="O9" s="1307"/>
    </row>
    <row r="10" spans="1:15" ht="36.75" customHeight="1">
      <c r="A10" s="1308"/>
      <c r="B10" s="1534" t="s">
        <v>1011</v>
      </c>
      <c r="C10" s="1535"/>
      <c r="D10" s="1535"/>
      <c r="E10" s="1536" t="s">
        <v>1127</v>
      </c>
      <c r="F10" s="1545">
        <f>'Fiche projet géothermie'!H285</f>
        <v>0</v>
      </c>
      <c r="G10" s="1546">
        <f>F10*K12*20</f>
        <v>0</v>
      </c>
      <c r="H10" s="1308"/>
      <c r="I10" s="2825"/>
      <c r="J10" s="1537" t="s">
        <v>953</v>
      </c>
      <c r="K10" s="1543">
        <v>25</v>
      </c>
      <c r="L10" s="1376"/>
      <c r="O10" s="1307"/>
    </row>
    <row r="11" spans="1:15" ht="36.75" customHeight="1">
      <c r="A11" s="1308"/>
      <c r="B11" s="1534"/>
      <c r="C11" s="1535"/>
      <c r="D11" s="1535"/>
      <c r="E11" s="1536" t="s">
        <v>1128</v>
      </c>
      <c r="F11" s="1547" t="e">
        <f>'Fiche projet géothermie'!H284</f>
        <v>#VALUE!</v>
      </c>
      <c r="G11" s="1546" t="e">
        <f>F11*K13*20</f>
        <v>#VALUE!</v>
      </c>
      <c r="H11" s="1308"/>
      <c r="I11" s="2825"/>
      <c r="J11" s="1538" t="s">
        <v>581</v>
      </c>
      <c r="K11" s="1544">
        <v>50</v>
      </c>
      <c r="L11" s="1376"/>
      <c r="O11" s="1307"/>
    </row>
    <row r="12" spans="1:15" ht="29.25" customHeight="1">
      <c r="A12" s="1308"/>
      <c r="B12" s="1539"/>
      <c r="C12" s="1308"/>
      <c r="D12" s="1308"/>
      <c r="E12" s="1540"/>
      <c r="F12" s="1548" t="s">
        <v>1132</v>
      </c>
      <c r="G12" s="1619" t="e">
        <f>G8+G10+G11</f>
        <v>#VALUE!</v>
      </c>
      <c r="H12" s="1308"/>
      <c r="I12" s="2825"/>
      <c r="J12" s="1538" t="s">
        <v>478</v>
      </c>
      <c r="K12" s="1544">
        <v>13</v>
      </c>
      <c r="L12" s="1376"/>
    </row>
    <row r="13" spans="1:15" ht="15" customHeight="1">
      <c r="A13" s="1308"/>
      <c r="B13" s="1539"/>
      <c r="C13" s="1308"/>
      <c r="D13" s="1308"/>
      <c r="E13" s="2826" t="s">
        <v>582</v>
      </c>
      <c r="F13" s="2826"/>
      <c r="G13" s="2827"/>
      <c r="H13" s="1308"/>
      <c r="I13" s="2825"/>
      <c r="J13" s="1538" t="s">
        <v>475</v>
      </c>
      <c r="K13" s="1544">
        <v>13</v>
      </c>
      <c r="L13" s="1376"/>
    </row>
    <row r="14" spans="1:15" ht="16.5" customHeight="1">
      <c r="A14" s="1308"/>
      <c r="B14" s="1541"/>
      <c r="C14" s="1542"/>
      <c r="D14" s="1542"/>
      <c r="E14" s="2828" t="s">
        <v>583</v>
      </c>
      <c r="F14" s="2828"/>
      <c r="G14" s="2829"/>
      <c r="H14" s="1308"/>
      <c r="I14" s="1308"/>
      <c r="J14" s="1308"/>
      <c r="K14" s="1308"/>
      <c r="L14" s="1376"/>
    </row>
    <row r="15" spans="1:15">
      <c r="A15" s="1308"/>
      <c r="B15" s="1308"/>
      <c r="C15" s="1308"/>
      <c r="D15" s="1308"/>
      <c r="E15" s="1308"/>
      <c r="F15" s="1308"/>
      <c r="G15" s="1308"/>
      <c r="H15" s="1308"/>
      <c r="I15" s="1308"/>
      <c r="J15" s="1308"/>
      <c r="K15" s="1308"/>
      <c r="L15" s="1376"/>
    </row>
    <row r="16" spans="1:15" s="1" customFormat="1">
      <c r="A16" s="1308"/>
      <c r="B16" s="1317"/>
      <c r="C16" s="1317"/>
      <c r="D16" s="1317"/>
      <c r="E16" s="1317"/>
      <c r="F16" s="1317"/>
      <c r="G16" s="1308"/>
      <c r="H16" s="1308"/>
      <c r="I16" s="1308"/>
      <c r="J16" s="1308"/>
      <c r="K16" s="1308"/>
      <c r="L16" s="1308"/>
    </row>
    <row r="17" spans="1:12" s="1" customFormat="1">
      <c r="A17" s="1308"/>
      <c r="B17" s="1317" t="s">
        <v>1135</v>
      </c>
      <c r="C17" s="1317"/>
      <c r="D17" s="1317"/>
      <c r="E17" s="1317"/>
      <c r="F17" s="1317"/>
      <c r="G17" s="1308"/>
      <c r="H17" s="1308"/>
      <c r="I17" s="1308"/>
      <c r="J17" s="1308"/>
      <c r="K17" s="1308"/>
      <c r="L17" s="1308"/>
    </row>
    <row r="18" spans="1:12" s="1" customFormat="1">
      <c r="B18" t="s">
        <v>1136</v>
      </c>
      <c r="C18"/>
      <c r="D18"/>
      <c r="E18"/>
      <c r="F18"/>
    </row>
    <row r="19" spans="1:12" s="1" customFormat="1">
      <c r="B19" t="s">
        <v>1137</v>
      </c>
      <c r="C19"/>
      <c r="D19"/>
      <c r="E19"/>
      <c r="F19"/>
    </row>
    <row r="20" spans="1:12" s="1" customFormat="1">
      <c r="B20" t="s">
        <v>1138</v>
      </c>
      <c r="C20"/>
      <c r="D20"/>
      <c r="E20"/>
      <c r="F20"/>
      <c r="I20"/>
      <c r="J20"/>
      <c r="K20"/>
    </row>
    <row r="21" spans="1:12" s="1" customFormat="1">
      <c r="B21"/>
      <c r="C21"/>
      <c r="D21"/>
      <c r="E21"/>
      <c r="F21"/>
      <c r="I21" t="s">
        <v>1011</v>
      </c>
      <c r="J21"/>
      <c r="K21"/>
    </row>
    <row r="22" spans="1:12" s="1" customFormat="1">
      <c r="B22"/>
      <c r="C22"/>
      <c r="D22"/>
      <c r="E22"/>
      <c r="F22"/>
      <c r="I22"/>
      <c r="J22"/>
      <c r="K22"/>
    </row>
    <row r="23" spans="1:12" s="1" customFormat="1">
      <c r="B23"/>
      <c r="C23"/>
      <c r="D23"/>
      <c r="E23"/>
      <c r="F23"/>
      <c r="I23"/>
      <c r="J23"/>
      <c r="K23"/>
    </row>
    <row r="24" spans="1:12" s="1" customFormat="1" ht="15" thickBot="1">
      <c r="I24"/>
      <c r="J24"/>
      <c r="K24"/>
    </row>
    <row r="25" spans="1:12" s="1" customFormat="1" ht="15.6">
      <c r="B25" s="1575" t="s">
        <v>1178</v>
      </c>
      <c r="C25" s="1576"/>
      <c r="D25" s="1576"/>
      <c r="E25" s="1577"/>
      <c r="G25" s="1578" t="s">
        <v>1178</v>
      </c>
      <c r="H25" s="1579">
        <v>44927</v>
      </c>
      <c r="I25"/>
      <c r="J25"/>
      <c r="K25"/>
    </row>
    <row r="26" spans="1:12" s="1" customFormat="1" ht="15.6">
      <c r="B26" s="1580"/>
      <c r="C26" s="1581" t="s">
        <v>1179</v>
      </c>
      <c r="D26" s="1581" t="s">
        <v>1180</v>
      </c>
      <c r="E26" s="1582" t="s">
        <v>344</v>
      </c>
      <c r="G26" s="1583" t="s">
        <v>1181</v>
      </c>
      <c r="H26" s="1584" t="s">
        <v>1182</v>
      </c>
      <c r="I26"/>
      <c r="J26"/>
      <c r="K26"/>
    </row>
    <row r="27" spans="1:12" s="1" customFormat="1" ht="15" customHeight="1">
      <c r="B27" s="1585"/>
      <c r="C27" s="1586">
        <f>'Fiche projet géothermie'!K316</f>
        <v>0</v>
      </c>
      <c r="D27" s="1586">
        <f>C27*H27</f>
        <v>0</v>
      </c>
      <c r="E27" s="2820">
        <f>SUM(D27:D31)</f>
        <v>0</v>
      </c>
      <c r="G27" s="1587" t="s">
        <v>1183</v>
      </c>
      <c r="H27" s="1588">
        <v>1190</v>
      </c>
      <c r="I27"/>
      <c r="J27"/>
      <c r="K27"/>
    </row>
    <row r="28" spans="1:12" s="1" customFormat="1" ht="15" customHeight="1">
      <c r="B28" s="1585"/>
      <c r="C28" s="1586">
        <f>'Fiche projet géothermie'!J316</f>
        <v>0</v>
      </c>
      <c r="D28" s="1586">
        <f t="shared" ref="D28:D31" si="0">C28*H28</f>
        <v>0</v>
      </c>
      <c r="E28" s="2821"/>
      <c r="G28" s="1587" t="s">
        <v>1184</v>
      </c>
      <c r="H28" s="1588">
        <v>770</v>
      </c>
      <c r="I28"/>
      <c r="J28"/>
      <c r="K28"/>
      <c r="L28"/>
    </row>
    <row r="29" spans="1:12" s="1" customFormat="1" ht="15" customHeight="1">
      <c r="B29" s="1585"/>
      <c r="C29" s="1586">
        <f>'Fiche projet géothermie'!I316</f>
        <v>0</v>
      </c>
      <c r="D29" s="1586">
        <f t="shared" si="0"/>
        <v>0</v>
      </c>
      <c r="E29" s="2821"/>
      <c r="G29" s="1587" t="s">
        <v>1185</v>
      </c>
      <c r="H29" s="1588">
        <v>610</v>
      </c>
      <c r="I29"/>
      <c r="J29"/>
      <c r="K29"/>
      <c r="L29"/>
    </row>
    <row r="30" spans="1:12" s="1" customFormat="1" ht="15" customHeight="1">
      <c r="B30" s="1585"/>
      <c r="C30" s="1586">
        <f>'Fiche projet géothermie'!H316</f>
        <v>0</v>
      </c>
      <c r="D30" s="1586">
        <f t="shared" si="0"/>
        <v>0</v>
      </c>
      <c r="E30" s="2821"/>
      <c r="G30" s="1587" t="s">
        <v>1186</v>
      </c>
      <c r="H30" s="1588">
        <v>450</v>
      </c>
      <c r="I30"/>
      <c r="J30"/>
      <c r="K30"/>
      <c r="L30"/>
    </row>
    <row r="31" spans="1:12" s="1" customFormat="1" ht="15.75" customHeight="1" thickBot="1">
      <c r="B31" s="1585"/>
      <c r="C31" s="1586">
        <f>'Fiche projet géothermie'!G316</f>
        <v>0</v>
      </c>
      <c r="D31" s="1586">
        <f t="shared" si="0"/>
        <v>0</v>
      </c>
      <c r="E31" s="2822"/>
      <c r="G31" s="1589" t="s">
        <v>1187</v>
      </c>
      <c r="H31" s="1590">
        <v>390</v>
      </c>
      <c r="I31"/>
      <c r="J31"/>
      <c r="K31"/>
      <c r="L31"/>
    </row>
    <row r="32" spans="1:12" s="1" customFormat="1" ht="16.2" thickBot="1">
      <c r="B32" s="1591" t="s">
        <v>1188</v>
      </c>
      <c r="C32" s="1592"/>
      <c r="D32" s="1593" t="e">
        <f>E27/(SUM(C27:C31))</f>
        <v>#DIV/0!</v>
      </c>
      <c r="E32" s="1594"/>
      <c r="I32"/>
      <c r="J32"/>
      <c r="K32"/>
      <c r="L32"/>
    </row>
    <row r="33" spans="2:7" ht="15" thickBot="1">
      <c r="B33" s="1"/>
      <c r="C33" s="1"/>
      <c r="D33" s="1"/>
      <c r="E33" s="1"/>
      <c r="F33" s="1"/>
      <c r="G33" s="1"/>
    </row>
    <row r="34" spans="2:7" ht="16.2" thickBot="1">
      <c r="B34" s="1595" t="s">
        <v>1189</v>
      </c>
      <c r="C34" s="1596"/>
      <c r="D34" s="1597"/>
      <c r="E34" s="1598" t="e">
        <f>E27+G12</f>
        <v>#VALUE!</v>
      </c>
      <c r="F34" s="1"/>
      <c r="G34" s="1"/>
    </row>
  </sheetData>
  <mergeCells count="12">
    <mergeCell ref="E27:E31"/>
    <mergeCell ref="B1:G2"/>
    <mergeCell ref="I9:I13"/>
    <mergeCell ref="E13:G13"/>
    <mergeCell ref="E14:G14"/>
    <mergeCell ref="B6:G6"/>
    <mergeCell ref="C7:D7"/>
    <mergeCell ref="B8:B9"/>
    <mergeCell ref="C8:D9"/>
    <mergeCell ref="E8:E9"/>
    <mergeCell ref="G8:G9"/>
    <mergeCell ref="F8:F9"/>
  </mergeCells>
  <dataValidations count="2">
    <dataValidation type="list" allowBlank="1" showInputMessage="1" showErrorMessage="1" sqref="C12">
      <formula1>#REF!</formula1>
    </dataValidation>
    <dataValidation type="list" allowBlank="1" showInputMessage="1" showErrorMessage="1" sqref="O7:O8 B8:B9">
      <formula1>$O$7:$O$8</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6:L29"/>
  <sheetViews>
    <sheetView topLeftCell="C10" workbookViewId="0">
      <selection activeCell="J19" sqref="J19:L19"/>
    </sheetView>
  </sheetViews>
  <sheetFormatPr defaultColWidth="11.5546875" defaultRowHeight="14.4"/>
  <cols>
    <col min="1" max="1" width="15.6640625" customWidth="1"/>
    <col min="3" max="3" width="23.44140625" customWidth="1"/>
    <col min="4" max="4" width="14.6640625" customWidth="1"/>
    <col min="5" max="5" width="18.5546875" customWidth="1"/>
    <col min="6" max="6" width="17.109375" customWidth="1"/>
    <col min="7" max="7" width="18.88671875" customWidth="1"/>
    <col min="8" max="8" width="17" customWidth="1"/>
    <col min="10" max="10" width="18.109375" customWidth="1"/>
  </cols>
  <sheetData>
    <row r="16" ht="15" thickBot="1"/>
    <row r="17" spans="1:12" ht="24.75" customHeight="1" thickBot="1">
      <c r="A17" s="2850" t="s">
        <v>1049</v>
      </c>
      <c r="B17" s="2850"/>
      <c r="C17" s="2850"/>
      <c r="D17" s="2850"/>
      <c r="E17" s="2850"/>
      <c r="F17" s="2850"/>
      <c r="G17" s="2851"/>
      <c r="H17" s="1296" t="s">
        <v>1008</v>
      </c>
      <c r="I17" s="2847" t="s">
        <v>1048</v>
      </c>
      <c r="J17" s="2848"/>
      <c r="K17" s="2848"/>
      <c r="L17" s="2849"/>
    </row>
    <row r="18" spans="1:12" ht="15" thickBot="1">
      <c r="A18" s="1291"/>
      <c r="H18" s="1290" t="s">
        <v>1014</v>
      </c>
      <c r="I18" s="1290" t="s">
        <v>1015</v>
      </c>
      <c r="J18" s="2844" t="s">
        <v>436</v>
      </c>
      <c r="K18" s="2845"/>
      <c r="L18" s="2846"/>
    </row>
    <row r="19" spans="1:12" ht="48.75" customHeight="1">
      <c r="A19" s="1291"/>
      <c r="H19" s="1292" t="s">
        <v>1047</v>
      </c>
      <c r="I19" s="1297" t="s">
        <v>1046</v>
      </c>
      <c r="J19" s="1293" t="s">
        <v>1038</v>
      </c>
      <c r="K19" s="1294" t="s">
        <v>1016</v>
      </c>
      <c r="L19" s="1295" t="s">
        <v>1044</v>
      </c>
    </row>
    <row r="20" spans="1:12">
      <c r="A20" s="1291" t="s">
        <v>1050</v>
      </c>
      <c r="B20" s="1298" t="s">
        <v>1052</v>
      </c>
      <c r="H20" s="1261" t="s">
        <v>10</v>
      </c>
      <c r="I20" s="1272" t="s">
        <v>1017</v>
      </c>
      <c r="J20" s="1281" t="s">
        <v>1017</v>
      </c>
      <c r="K20" s="1250" t="s">
        <v>1039</v>
      </c>
      <c r="L20" s="1253" t="s">
        <v>1027</v>
      </c>
    </row>
    <row r="21" spans="1:12">
      <c r="A21" s="1291"/>
      <c r="H21" s="1262" t="s">
        <v>11</v>
      </c>
      <c r="I21" s="1273" t="s">
        <v>1018</v>
      </c>
      <c r="J21" s="1282" t="s">
        <v>1028</v>
      </c>
      <c r="K21" s="1251" t="s">
        <v>1040</v>
      </c>
      <c r="L21" s="1254" t="s">
        <v>1029</v>
      </c>
    </row>
    <row r="22" spans="1:12">
      <c r="H22" s="1263" t="s">
        <v>12</v>
      </c>
      <c r="I22" s="1274" t="s">
        <v>1019</v>
      </c>
      <c r="J22" s="1283" t="s">
        <v>1030</v>
      </c>
      <c r="K22" s="1252" t="s">
        <v>1041</v>
      </c>
      <c r="L22" s="1255" t="s">
        <v>1031</v>
      </c>
    </row>
    <row r="23" spans="1:12">
      <c r="A23" s="1291" t="s">
        <v>1051</v>
      </c>
      <c r="B23" s="1299" t="s">
        <v>1053</v>
      </c>
      <c r="H23" s="1264" t="s">
        <v>13</v>
      </c>
      <c r="I23" s="1275" t="s">
        <v>1020</v>
      </c>
      <c r="J23" s="1284" t="s">
        <v>1032</v>
      </c>
      <c r="K23" s="1249" t="s">
        <v>1042</v>
      </c>
      <c r="L23" s="1256" t="s">
        <v>1033</v>
      </c>
    </row>
    <row r="24" spans="1:12">
      <c r="A24" s="1291"/>
      <c r="B24" s="1301" t="s">
        <v>1057</v>
      </c>
      <c r="H24" s="1265" t="s">
        <v>14</v>
      </c>
      <c r="I24" s="1276" t="s">
        <v>1021</v>
      </c>
      <c r="J24" s="1285" t="s">
        <v>1034</v>
      </c>
      <c r="K24" s="1248" t="s">
        <v>1021</v>
      </c>
      <c r="L24" s="1257" t="s">
        <v>1035</v>
      </c>
    </row>
    <row r="25" spans="1:12">
      <c r="B25" s="1301" t="s">
        <v>1058</v>
      </c>
      <c r="H25" s="1266" t="s">
        <v>15</v>
      </c>
      <c r="I25" s="1277" t="s">
        <v>1022</v>
      </c>
      <c r="J25" s="1286" t="s">
        <v>1036</v>
      </c>
      <c r="K25" s="1247" t="s">
        <v>1022</v>
      </c>
      <c r="L25" s="1258" t="s">
        <v>1037</v>
      </c>
    </row>
    <row r="26" spans="1:12">
      <c r="B26" s="1301" t="s">
        <v>1059</v>
      </c>
      <c r="H26" s="1267" t="s">
        <v>16</v>
      </c>
      <c r="I26" s="1278" t="s">
        <v>1023</v>
      </c>
      <c r="J26" s="1287" t="s">
        <v>1026</v>
      </c>
      <c r="K26" s="1246" t="s">
        <v>1043</v>
      </c>
      <c r="L26" s="1259" t="s">
        <v>1045</v>
      </c>
    </row>
    <row r="27" spans="1:12">
      <c r="B27" s="1299" t="s">
        <v>1054</v>
      </c>
      <c r="H27" s="1268" t="s">
        <v>1024</v>
      </c>
      <c r="I27" s="1279"/>
      <c r="J27" s="1288"/>
      <c r="K27" s="1245"/>
      <c r="L27" s="1260"/>
    </row>
    <row r="28" spans="1:12" ht="14.25" customHeight="1" thickBot="1">
      <c r="B28" s="1300" t="s">
        <v>1055</v>
      </c>
      <c r="H28" s="1269" t="s">
        <v>1025</v>
      </c>
      <c r="I28" s="1280"/>
      <c r="J28" s="1289"/>
      <c r="K28" s="1270"/>
      <c r="L28" s="1271"/>
    </row>
    <row r="29" spans="1:12">
      <c r="B29" s="1300" t="s">
        <v>1056</v>
      </c>
    </row>
  </sheetData>
  <mergeCells count="3">
    <mergeCell ref="J18:L18"/>
    <mergeCell ref="I17:L17"/>
    <mergeCell ref="A17:G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O103"/>
  <sheetViews>
    <sheetView topLeftCell="A5" workbookViewId="0">
      <selection activeCell="T8" sqref="T8"/>
    </sheetView>
  </sheetViews>
  <sheetFormatPr defaultColWidth="11.5546875" defaultRowHeight="14.4"/>
  <cols>
    <col min="1" max="1" width="11.5546875" customWidth="1"/>
    <col min="2" max="2" width="1.5546875" customWidth="1"/>
    <col min="3" max="3" width="19.109375" customWidth="1"/>
    <col min="4" max="5" width="1.44140625" customWidth="1"/>
    <col min="6" max="6" width="13.6640625" customWidth="1"/>
    <col min="7" max="7" width="1" customWidth="1"/>
    <col min="8" max="8" width="21.88671875" customWidth="1"/>
    <col min="9" max="9" width="1.6640625" customWidth="1"/>
    <col min="10" max="10" width="13.33203125" customWidth="1"/>
    <col min="11" max="11" width="1.5546875" customWidth="1"/>
    <col min="12" max="12" width="23.33203125" customWidth="1"/>
    <col min="13" max="13" width="1.5546875" customWidth="1"/>
    <col min="14" max="14" width="16.109375" customWidth="1"/>
    <col min="15" max="15" width="1.109375" customWidth="1"/>
    <col min="16" max="16" width="45.5546875" customWidth="1"/>
    <col min="17" max="17" width="1.6640625" customWidth="1"/>
    <col min="18" max="18" width="39.44140625" customWidth="1"/>
    <col min="19" max="19" width="14.109375" customWidth="1"/>
    <col min="20" max="20" width="30.6640625" customWidth="1"/>
    <col min="21" max="21" width="12" customWidth="1"/>
    <col min="22" max="22" width="24.6640625" customWidth="1"/>
    <col min="23" max="23" width="1.33203125" customWidth="1"/>
    <col min="24" max="24" width="22.33203125" customWidth="1"/>
    <col min="25" max="25" width="1.44140625" customWidth="1"/>
    <col min="26" max="26" width="51.109375" customWidth="1"/>
    <col min="27" max="27" width="1" customWidth="1"/>
    <col min="28" max="28" width="41.5546875" customWidth="1"/>
    <col min="29" max="29" width="1.5546875" customWidth="1"/>
    <col min="30" max="30" width="20.109375" customWidth="1"/>
    <col min="31" max="31" width="1.6640625" customWidth="1"/>
    <col min="32" max="32" width="4.33203125" customWidth="1"/>
    <col min="33" max="33" width="16.44140625" customWidth="1"/>
    <col min="34" max="34" width="2.109375" customWidth="1"/>
    <col min="35" max="35" width="22.33203125" customWidth="1"/>
    <col min="36" max="36" width="24.6640625" customWidth="1"/>
  </cols>
  <sheetData>
    <row r="1" spans="1:40">
      <c r="A1" s="6" t="s">
        <v>586</v>
      </c>
    </row>
    <row r="2" spans="1:40">
      <c r="A2" s="5"/>
    </row>
    <row r="5" spans="1:40" s="111" customFormat="1" ht="15.6">
      <c r="A5" s="1187" t="s">
        <v>149</v>
      </c>
      <c r="C5" s="1235" t="s">
        <v>139</v>
      </c>
      <c r="F5" s="1235" t="s">
        <v>999</v>
      </c>
      <c r="H5" s="111" t="s">
        <v>588</v>
      </c>
      <c r="J5" s="1187" t="s">
        <v>151</v>
      </c>
      <c r="L5" s="182" t="s">
        <v>592</v>
      </c>
      <c r="M5" s="182"/>
      <c r="N5" s="182" t="s">
        <v>974</v>
      </c>
      <c r="P5" s="182" t="s">
        <v>997</v>
      </c>
      <c r="R5" s="182" t="s">
        <v>591</v>
      </c>
      <c r="T5" s="182" t="s">
        <v>1007</v>
      </c>
      <c r="V5" s="182" t="s">
        <v>118</v>
      </c>
      <c r="X5" s="182" t="s">
        <v>127</v>
      </c>
      <c r="Z5" s="182" t="s">
        <v>819</v>
      </c>
      <c r="AB5" s="182" t="s">
        <v>1070</v>
      </c>
      <c r="AD5" s="111" t="s">
        <v>160</v>
      </c>
      <c r="AG5" s="111" t="s">
        <v>208</v>
      </c>
      <c r="AI5" s="111" t="s">
        <v>866</v>
      </c>
      <c r="AJ5" s="1615" t="s">
        <v>1193</v>
      </c>
    </row>
    <row r="6" spans="1:40" s="111" customFormat="1" ht="15.6">
      <c r="A6" s="1187"/>
      <c r="C6" s="1235"/>
      <c r="F6" s="1235"/>
      <c r="J6" s="1187"/>
      <c r="L6" s="182"/>
      <c r="M6" s="110"/>
      <c r="N6" s="182"/>
      <c r="P6" s="182"/>
      <c r="R6" s="182"/>
      <c r="T6" s="182"/>
      <c r="V6" s="182"/>
      <c r="X6" s="182"/>
      <c r="Z6" s="182"/>
      <c r="AB6" s="182"/>
      <c r="AI6" s="111" t="s">
        <v>1011</v>
      </c>
      <c r="AJ6" s="1616"/>
    </row>
    <row r="7" spans="1:40" s="111" customFormat="1" ht="201.6">
      <c r="A7" s="110" t="s">
        <v>10</v>
      </c>
      <c r="C7" s="1236" t="s">
        <v>40</v>
      </c>
      <c r="F7" s="1236" t="s">
        <v>40</v>
      </c>
      <c r="H7" s="110" t="s">
        <v>442</v>
      </c>
      <c r="J7" s="110" t="s">
        <v>74</v>
      </c>
      <c r="L7" s="110" t="s">
        <v>470</v>
      </c>
      <c r="M7" s="110"/>
      <c r="N7" s="111" t="s">
        <v>975</v>
      </c>
      <c r="P7" s="1305" t="s">
        <v>1083</v>
      </c>
      <c r="R7" s="110" t="s">
        <v>1005</v>
      </c>
      <c r="T7" s="110" t="s">
        <v>1271</v>
      </c>
      <c r="V7" s="111" t="s">
        <v>152</v>
      </c>
      <c r="X7" s="110" t="s">
        <v>206</v>
      </c>
      <c r="Z7" s="110" t="s">
        <v>346</v>
      </c>
      <c r="AB7" s="110" t="s">
        <v>1038</v>
      </c>
      <c r="AD7" s="111">
        <v>1</v>
      </c>
      <c r="AG7" s="111" t="s">
        <v>209</v>
      </c>
      <c r="AI7" s="111" t="s">
        <v>869</v>
      </c>
      <c r="AJ7" s="1617" t="s">
        <v>112</v>
      </c>
      <c r="AK7" s="111" t="s">
        <v>188</v>
      </c>
    </row>
    <row r="8" spans="1:40" s="111" customFormat="1" ht="201.6">
      <c r="A8" s="110" t="s">
        <v>11</v>
      </c>
      <c r="C8" s="1236" t="s">
        <v>41</v>
      </c>
      <c r="F8" s="1236" t="s">
        <v>41</v>
      </c>
      <c r="H8" s="110" t="s">
        <v>434</v>
      </c>
      <c r="J8" s="110" t="s">
        <v>75</v>
      </c>
      <c r="L8" s="110" t="s">
        <v>473</v>
      </c>
      <c r="M8" s="110"/>
      <c r="N8" s="111" t="s">
        <v>976</v>
      </c>
      <c r="P8" s="1305" t="s">
        <v>1090</v>
      </c>
      <c r="R8" s="110" t="s">
        <v>1006</v>
      </c>
      <c r="T8" s="110" t="s">
        <v>1272</v>
      </c>
      <c r="V8" s="111" t="s">
        <v>202</v>
      </c>
      <c r="X8" s="110" t="s">
        <v>205</v>
      </c>
      <c r="Z8" s="110" t="s">
        <v>1266</v>
      </c>
      <c r="AB8" s="110" t="s">
        <v>1016</v>
      </c>
      <c r="AD8" s="111">
        <v>1</v>
      </c>
      <c r="AG8" s="111" t="s">
        <v>210</v>
      </c>
      <c r="AI8" s="111" t="s">
        <v>867</v>
      </c>
      <c r="AJ8" s="1618" t="s">
        <v>1216</v>
      </c>
      <c r="AK8" s="111" t="s">
        <v>191</v>
      </c>
    </row>
    <row r="9" spans="1:40" s="111" customFormat="1" ht="57.6">
      <c r="A9" s="110" t="s">
        <v>12</v>
      </c>
      <c r="C9" s="1236" t="s">
        <v>998</v>
      </c>
      <c r="F9" s="1236" t="s">
        <v>998</v>
      </c>
      <c r="H9" s="110" t="s">
        <v>475</v>
      </c>
      <c r="J9" s="111" t="s">
        <v>164</v>
      </c>
      <c r="L9" s="110" t="s">
        <v>476</v>
      </c>
      <c r="M9" s="110"/>
      <c r="N9" s="111" t="s">
        <v>977</v>
      </c>
      <c r="P9" s="1306" t="s">
        <v>1084</v>
      </c>
      <c r="R9" s="110" t="s">
        <v>1157</v>
      </c>
      <c r="T9" s="1700" t="s">
        <v>83</v>
      </c>
      <c r="V9" s="111" t="s">
        <v>153</v>
      </c>
      <c r="X9" s="110" t="s">
        <v>220</v>
      </c>
      <c r="Z9" s="110" t="s">
        <v>1267</v>
      </c>
      <c r="AB9" s="110" t="s">
        <v>1044</v>
      </c>
      <c r="AD9" s="111">
        <v>1</v>
      </c>
      <c r="AI9" s="111" t="s">
        <v>220</v>
      </c>
      <c r="AJ9" s="1617" t="s">
        <v>1217</v>
      </c>
      <c r="AK9" s="111" t="s">
        <v>1230</v>
      </c>
    </row>
    <row r="10" spans="1:40" s="111" customFormat="1" ht="57.6">
      <c r="A10" s="110" t="s">
        <v>13</v>
      </c>
      <c r="F10" s="110"/>
      <c r="H10" s="110" t="s">
        <v>478</v>
      </c>
      <c r="J10" s="110"/>
      <c r="L10" s="110"/>
      <c r="M10" s="110"/>
      <c r="N10" s="110"/>
      <c r="P10" s="1306" t="s">
        <v>1085</v>
      </c>
      <c r="R10" s="110" t="s">
        <v>1158</v>
      </c>
      <c r="T10" s="110"/>
      <c r="V10" s="111" t="s">
        <v>154</v>
      </c>
      <c r="Y10" s="110"/>
      <c r="Z10" s="110"/>
      <c r="AB10" s="110"/>
      <c r="AD10" s="111">
        <v>0</v>
      </c>
    </row>
    <row r="11" spans="1:40" s="111" customFormat="1">
      <c r="A11" s="110" t="s">
        <v>14</v>
      </c>
      <c r="F11" s="110"/>
      <c r="L11" s="110"/>
      <c r="M11" s="110"/>
      <c r="N11" s="110"/>
      <c r="P11" s="1185"/>
      <c r="T11" s="110"/>
      <c r="V11" s="111" t="s">
        <v>117</v>
      </c>
      <c r="Z11" s="110"/>
      <c r="AB11" s="110"/>
      <c r="AD11" s="111">
        <v>0</v>
      </c>
    </row>
    <row r="12" spans="1:40" s="111" customFormat="1">
      <c r="A12" s="110" t="s">
        <v>15</v>
      </c>
      <c r="F12" s="110"/>
      <c r="L12" s="110"/>
      <c r="M12" s="110"/>
      <c r="P12" s="1185"/>
      <c r="V12" s="110" t="s">
        <v>220</v>
      </c>
      <c r="Z12" s="110"/>
      <c r="AB12" s="110"/>
      <c r="AD12" s="111">
        <v>1</v>
      </c>
      <c r="AJ12" s="1615" t="s">
        <v>1178</v>
      </c>
    </row>
    <row r="13" spans="1:40" s="111" customFormat="1">
      <c r="A13" s="110" t="s">
        <v>16</v>
      </c>
      <c r="L13" s="110"/>
      <c r="M13" s="110"/>
      <c r="P13" s="110"/>
      <c r="Z13" s="110"/>
      <c r="AB13" s="110"/>
      <c r="AD13" s="111">
        <v>2.58</v>
      </c>
      <c r="AJ13" s="1616" t="s">
        <v>1195</v>
      </c>
      <c r="AL13" s="1293"/>
      <c r="AM13" s="1294"/>
      <c r="AN13" s="1295"/>
    </row>
    <row r="14" spans="1:40" s="111" customFormat="1">
      <c r="A14" s="110" t="s">
        <v>220</v>
      </c>
      <c r="L14" s="110"/>
      <c r="M14" s="110"/>
      <c r="Z14" s="110"/>
      <c r="AB14" s="110"/>
      <c r="AD14" s="111">
        <v>0</v>
      </c>
      <c r="AJ14" s="1617" t="s">
        <v>1218</v>
      </c>
    </row>
    <row r="15" spans="1:40" s="111" customFormat="1">
      <c r="A15" s="110"/>
      <c r="L15" s="110"/>
      <c r="M15" s="110"/>
      <c r="Z15" s="110"/>
      <c r="AB15" s="110"/>
      <c r="AD15" s="111">
        <v>1</v>
      </c>
      <c r="AJ15" s="1618" t="s">
        <v>1078</v>
      </c>
    </row>
    <row r="16" spans="1:40" s="111" customFormat="1">
      <c r="A16" s="110"/>
      <c r="L16" s="110"/>
      <c r="M16" s="110"/>
      <c r="Z16" s="110"/>
      <c r="AJ16" s="1617"/>
    </row>
    <row r="17" spans="1:41" s="111" customFormat="1">
      <c r="A17" s="110"/>
      <c r="L17" s="110"/>
      <c r="M17" s="110"/>
    </row>
    <row r="18" spans="1:41" s="111" customFormat="1">
      <c r="A18" s="110"/>
      <c r="L18" s="110"/>
      <c r="M18" s="110"/>
    </row>
    <row r="19" spans="1:41" s="111" customFormat="1">
      <c r="A19" s="110"/>
      <c r="L19" s="110"/>
      <c r="M19" s="110"/>
    </row>
    <row r="20" spans="1:41" s="111" customFormat="1">
      <c r="A20" s="110"/>
      <c r="L20" s="110"/>
      <c r="M20" s="110"/>
    </row>
    <row r="21" spans="1:41" s="111" customFormat="1">
      <c r="A21" s="110"/>
      <c r="L21" s="110"/>
      <c r="M21" s="110"/>
    </row>
    <row r="22" spans="1:41" s="111" customFormat="1">
      <c r="A22" s="110"/>
      <c r="L22" s="110"/>
    </row>
    <row r="23" spans="1:41" s="111" customFormat="1">
      <c r="A23" s="110"/>
      <c r="L23" s="110"/>
    </row>
    <row r="24" spans="1:41" s="111" customFormat="1">
      <c r="A24" s="110"/>
      <c r="AI24"/>
      <c r="AK24"/>
      <c r="AL24"/>
      <c r="AM24"/>
      <c r="AN24"/>
      <c r="AO24"/>
    </row>
    <row r="25" spans="1:41">
      <c r="A25" s="5"/>
    </row>
    <row r="26" spans="1:41">
      <c r="A26" s="5"/>
    </row>
    <row r="27" spans="1:41">
      <c r="A27" s="5"/>
    </row>
    <row r="28" spans="1:41">
      <c r="A28" s="5"/>
    </row>
    <row r="29" spans="1:41">
      <c r="A29" s="5"/>
    </row>
    <row r="32" spans="1:41">
      <c r="A32" s="5"/>
    </row>
    <row r="33" spans="1:1">
      <c r="A33" s="5"/>
    </row>
    <row r="34" spans="1:1">
      <c r="A34" s="5"/>
    </row>
    <row r="35" spans="1:1">
      <c r="A35" s="5"/>
    </row>
    <row r="36" spans="1:1">
      <c r="A36" s="5"/>
    </row>
    <row r="37" spans="1:1">
      <c r="A37" s="5"/>
    </row>
    <row r="38" spans="1:1">
      <c r="A38" s="5"/>
    </row>
    <row r="39" spans="1:1">
      <c r="A39" s="5"/>
    </row>
    <row r="40" spans="1:1">
      <c r="A40" s="5"/>
    </row>
    <row r="41" spans="1:1">
      <c r="A41" s="5"/>
    </row>
    <row r="42" spans="1:1">
      <c r="A42" s="5"/>
    </row>
    <row r="43" spans="1:1">
      <c r="A43" s="5"/>
    </row>
    <row r="44" spans="1:1">
      <c r="A44" s="5"/>
    </row>
    <row r="45" spans="1:1">
      <c r="A45" s="5"/>
    </row>
    <row r="46" spans="1:1">
      <c r="A46" s="5"/>
    </row>
    <row r="47" spans="1:1">
      <c r="A47" s="5"/>
    </row>
    <row r="48" spans="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row r="83" spans="1:1">
      <c r="A83" s="5"/>
    </row>
    <row r="84" spans="1:1">
      <c r="A84" s="5"/>
    </row>
    <row r="85" spans="1:1">
      <c r="A85" s="5"/>
    </row>
    <row r="86" spans="1:1">
      <c r="A86" s="5"/>
    </row>
    <row r="87" spans="1:1">
      <c r="A87" s="5"/>
    </row>
    <row r="88" spans="1:1">
      <c r="A88" s="5"/>
    </row>
    <row r="89" spans="1:1">
      <c r="A89" s="5"/>
    </row>
    <row r="90" spans="1:1">
      <c r="A90" s="5"/>
    </row>
    <row r="91" spans="1:1">
      <c r="A91" s="5"/>
    </row>
    <row r="92" spans="1:1">
      <c r="A92" s="5"/>
    </row>
    <row r="93" spans="1:1">
      <c r="A93" s="5"/>
    </row>
    <row r="94" spans="1:1">
      <c r="A94" s="5"/>
    </row>
    <row r="95" spans="1:1">
      <c r="A95" s="5"/>
    </row>
    <row r="96" spans="1:1">
      <c r="A96" s="5"/>
    </row>
    <row r="97" spans="1:1">
      <c r="A97" s="5"/>
    </row>
    <row r="98" spans="1:1">
      <c r="A98" s="5"/>
    </row>
    <row r="99" spans="1:1">
      <c r="A99" s="5"/>
    </row>
    <row r="100" spans="1:1">
      <c r="A100" s="5"/>
    </row>
    <row r="101" spans="1:1">
      <c r="A101" s="5"/>
    </row>
    <row r="102" spans="1:1">
      <c r="A102" s="5"/>
    </row>
    <row r="103" spans="1:1">
      <c r="A103" s="5"/>
    </row>
  </sheetData>
  <pageMargins left="0.7" right="0.7" top="0.75" bottom="0.75" header="0.3" footer="0.3"/>
  <pageSetup paperSize="9"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126</vt:i4>
      </vt:variant>
    </vt:vector>
  </HeadingPairs>
  <TitlesOfParts>
    <vt:vector size="142" baseType="lpstr">
      <vt:lpstr>Accueil</vt:lpstr>
      <vt:lpstr>Accueil et légendes</vt:lpstr>
      <vt:lpstr>Géothermie</vt:lpstr>
      <vt:lpstr>Géothermie V3</vt:lpstr>
      <vt:lpstr>Fiche projet géothermie</vt:lpstr>
      <vt:lpstr>RECAP</vt:lpstr>
      <vt:lpstr>A remplir - calcul aide</vt:lpstr>
      <vt:lpstr>Aide</vt:lpstr>
      <vt:lpstr>menus geothermie</vt:lpstr>
      <vt:lpstr>Géothermie V2</vt:lpstr>
      <vt:lpstr>Elements du FC à garder ds 1 wo</vt:lpstr>
      <vt:lpstr>Schemas FC Géothermie</vt:lpstr>
      <vt:lpstr>exemple biomasse</vt:lpstr>
      <vt:lpstr>PAC sur nappe</vt:lpstr>
      <vt:lpstr>Glossaire</vt:lpstr>
      <vt:lpstr>Valeurs de reference</vt:lpstr>
      <vt:lpstr>'exemple biomasse'!_ftnref1</vt:lpstr>
      <vt:lpstr>Administration</vt:lpstr>
      <vt:lpstr>Agricole</vt:lpstr>
      <vt:lpstr>Autre</vt:lpstr>
      <vt:lpstr>B_collectif</vt:lpstr>
      <vt:lpstr>B_entreprise</vt:lpstr>
      <vt:lpstr>bat_1</vt:lpstr>
      <vt:lpstr>bat_2</vt:lpstr>
      <vt:lpstr>bat_collectif</vt:lpstr>
      <vt:lpstr>bat_decret</vt:lpstr>
      <vt:lpstr>bat_non</vt:lpstr>
      <vt:lpstr>categorie</vt:lpstr>
      <vt:lpstr>cc</vt:lpstr>
      <vt:lpstr>ch_1</vt:lpstr>
      <vt:lpstr>ch_BEt_et_sous_sol</vt:lpstr>
      <vt:lpstr>ch_ceel1</vt:lpstr>
      <vt:lpstr>ch_ceel2</vt:lpstr>
      <vt:lpstr>ch_ceel3</vt:lpstr>
      <vt:lpstr>ch_ceel4</vt:lpstr>
      <vt:lpstr>ch_ceel5</vt:lpstr>
      <vt:lpstr>ch_ceel6</vt:lpstr>
      <vt:lpstr>ch_cet1</vt:lpstr>
      <vt:lpstr>ch_cet2</vt:lpstr>
      <vt:lpstr>ch_cet3</vt:lpstr>
      <vt:lpstr>ch_cet4</vt:lpstr>
      <vt:lpstr>ch_chauffage</vt:lpstr>
      <vt:lpstr>ch_collectif</vt:lpstr>
      <vt:lpstr>ch_constructionneuve</vt:lpstr>
      <vt:lpstr>'Fiche projet géothermie'!ch_eauxusees</vt:lpstr>
      <vt:lpstr>ch_eauxusees</vt:lpstr>
      <vt:lpstr>ch_ecs</vt:lpstr>
      <vt:lpstr>ch_entreprise</vt:lpstr>
      <vt:lpstr>ch_froidactif</vt:lpstr>
      <vt:lpstr>ch_geocooling</vt:lpstr>
      <vt:lpstr>ch_localisation</vt:lpstr>
      <vt:lpstr>'Fiche projet géothermie'!ch_nappe</vt:lpstr>
      <vt:lpstr>ch_nappe</vt:lpstr>
      <vt:lpstr>ch_renovationcomplete</vt:lpstr>
      <vt:lpstr>ch_renovationenergetique</vt:lpstr>
      <vt:lpstr>ch_reseaudechaleur</vt:lpstr>
      <vt:lpstr>'Fiche projet géothermie'!ch_sondes</vt:lpstr>
      <vt:lpstr>ch_sondes</vt:lpstr>
      <vt:lpstr>ch_surface</vt:lpstr>
      <vt:lpstr>ch_taille</vt:lpstr>
      <vt:lpstr>ch_travauxmelange</vt:lpstr>
      <vt:lpstr>collectif</vt:lpstr>
      <vt:lpstr>conso_appoint</vt:lpstr>
      <vt:lpstr>cop_chaud</vt:lpstr>
      <vt:lpstr>cop_ecs</vt:lpstr>
      <vt:lpstr>COP_PAC</vt:lpstr>
      <vt:lpstr>Cp_eau</vt:lpstr>
      <vt:lpstr>Cp_eau_glycolée</vt:lpstr>
      <vt:lpstr>delta_T</vt:lpstr>
      <vt:lpstr>delta_T_echangeur</vt:lpstr>
      <vt:lpstr>delta_T_nappe</vt:lpstr>
      <vt:lpstr>DPE</vt:lpstr>
      <vt:lpstr>'Fiche projet géothermie'!duree_eaux</vt:lpstr>
      <vt:lpstr>duree_eaux</vt:lpstr>
      <vt:lpstr>duree_nappe</vt:lpstr>
      <vt:lpstr>duree_sondes</vt:lpstr>
      <vt:lpstr>eer_froid</vt:lpstr>
      <vt:lpstr>eer_froidactif</vt:lpstr>
      <vt:lpstr>entreprise</vt:lpstr>
      <vt:lpstr>entretien</vt:lpstr>
      <vt:lpstr>Excel_BuiltIn__FilterDatabase_4</vt:lpstr>
      <vt:lpstr>'Géothermie V2'!G_montant_des_depenses</vt:lpstr>
      <vt:lpstr>G_montant_des_depenses</vt:lpstr>
      <vt:lpstr>'Géothermie V2'!G_montantdesdepenses</vt:lpstr>
      <vt:lpstr>G_montantdesdepenses</vt:lpstr>
      <vt:lpstr>'Fiche projet géothermie'!G_subventions</vt:lpstr>
      <vt:lpstr>'Géothermie V2'!G_subventions</vt:lpstr>
      <vt:lpstr>'Géothermie V3'!G_subventions</vt:lpstr>
      <vt:lpstr>G_subventions</vt:lpstr>
      <vt:lpstr>Hospitalier</vt:lpstr>
      <vt:lpstr>Hôtel</vt:lpstr>
      <vt:lpstr>hydro_eauxusées</vt:lpstr>
      <vt:lpstr>hydro_nappe</vt:lpstr>
      <vt:lpstr>hydro_sondes</vt:lpstr>
      <vt:lpstr>Industrie</vt:lpstr>
      <vt:lpstr>Logements</vt:lpstr>
      <vt:lpstr>m_naturels</vt:lpstr>
      <vt:lpstr>mode_calcul_aide</vt:lpstr>
      <vt:lpstr>montant_des_depenses</vt:lpstr>
      <vt:lpstr>nat_appoint</vt:lpstr>
      <vt:lpstr>nb_appoint</vt:lpstr>
      <vt:lpstr>nbr_h_fonctionnement</vt:lpstr>
      <vt:lpstr>'Fiche projet géothermie'!nom_MO</vt:lpstr>
      <vt:lpstr>nom_MO</vt:lpstr>
      <vt:lpstr>'Fiche projet géothermie'!nom_prj</vt:lpstr>
      <vt:lpstr>nom_prj</vt:lpstr>
      <vt:lpstr>'Fiche projet géothermie'!nom_prk</vt:lpstr>
      <vt:lpstr>nom_prk</vt:lpstr>
      <vt:lpstr>nrj_appoint</vt:lpstr>
      <vt:lpstr>Piscine</vt:lpstr>
      <vt:lpstr>'PAC sur nappe'!Print_Area</vt:lpstr>
      <vt:lpstr>'Valeurs de reference'!Print_Area</vt:lpstr>
      <vt:lpstr>prix_appoint</vt:lpstr>
      <vt:lpstr>Prod_biomasse</vt:lpstr>
      <vt:lpstr>production</vt:lpstr>
      <vt:lpstr>Projet</vt:lpstr>
      <vt:lpstr>Puiss_biomasse</vt:lpstr>
      <vt:lpstr>puissance_appoint</vt:lpstr>
      <vt:lpstr>Référence</vt:lpstr>
      <vt:lpstr>rendement_echangeur</vt:lpstr>
      <vt:lpstr>rendement_moteur</vt:lpstr>
      <vt:lpstr>renov_rt_glob</vt:lpstr>
      <vt:lpstr>rge_etudes</vt:lpstr>
      <vt:lpstr>Salle</vt:lpstr>
      <vt:lpstr>scop_chaud</vt:lpstr>
      <vt:lpstr>scop_ecs</vt:lpstr>
      <vt:lpstr>seer</vt:lpstr>
      <vt:lpstr>SHON</vt:lpstr>
      <vt:lpstr>sous_sol</vt:lpstr>
      <vt:lpstr>subvention_ADEMEr</vt:lpstr>
      <vt:lpstr>subventions</vt:lpstr>
      <vt:lpstr>subventions_tot</vt:lpstr>
      <vt:lpstr>Tertiaire</vt:lpstr>
      <vt:lpstr>ThCEEX</vt:lpstr>
      <vt:lpstr>total_depenses</vt:lpstr>
      <vt:lpstr>'Géothermie V2'!type</vt:lpstr>
      <vt:lpstr>type</vt:lpstr>
      <vt:lpstr>Type_appoint</vt:lpstr>
      <vt:lpstr>Type_bât</vt:lpstr>
      <vt:lpstr>type_pac</vt:lpstr>
      <vt:lpstr>xx</vt:lpstr>
      <vt:lpstr>zero</vt:lpstr>
    </vt:vector>
  </TitlesOfParts>
  <Company>ADEME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HAMADOU Hakim</dc:creator>
  <cp:lastModifiedBy>Sonia Aimé</cp:lastModifiedBy>
  <dcterms:created xsi:type="dcterms:W3CDTF">2020-05-24T16:41:23Z</dcterms:created>
  <dcterms:modified xsi:type="dcterms:W3CDTF">2024-03-14T09:44:57Z</dcterms:modified>
</cp:coreProperties>
</file>