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C:\Users\Adrien\Dropbox\CCR PMGF\0 - Docs à remplir par PP\"/>
    </mc:Choice>
  </mc:AlternateContent>
  <bookViews>
    <workbookView xWindow="0" yWindow="0" windowWidth="19200" windowHeight="10632" tabRatio="745" firstSheet="1" activeTab="1"/>
  </bookViews>
  <sheets>
    <sheet name="Accueil et légendes" sheetId="24" r:id="rId1"/>
    <sheet name="Fiche projet biomasse" sheetId="21" r:id="rId2"/>
    <sheet name="RECAP" sheetId="28" r:id="rId3"/>
    <sheet name="Aide ratios" sheetId="25" state="hidden" r:id="rId4"/>
    <sheet name="Simulation FC" sheetId="27" r:id="rId5"/>
    <sheet name="Menus biomasse" sheetId="15" state="hidden" r:id="rId6"/>
    <sheet name="Valeurs de reference" sheetId="26" state="hidden" r:id="rId7"/>
    <sheet name="Calcul déficit de financement" sheetId="29" r:id="rId8"/>
  </sheets>
  <externalReferences>
    <externalReference r:id="rId9"/>
    <externalReference r:id="rId10"/>
    <externalReference r:id="rId11"/>
    <externalReference r:id="rId12"/>
    <externalReference r:id="rId13"/>
    <externalReference r:id="rId14"/>
  </externalReferences>
  <definedNames>
    <definedName name="_ftn1" localSheetId="1">'Fiche projet biomasse'!#REF!</definedName>
    <definedName name="_ftnref1" localSheetId="1">'Fiche projet biomasse'!$B$160</definedName>
    <definedName name="aide_etude_ge">#REF!</definedName>
    <definedName name="aide_etude_me">#REF!</definedName>
    <definedName name="aide_etude_non_eco">#REF!</definedName>
    <definedName name="aide_etude_pe">#REF!</definedName>
    <definedName name="analyse_eco">[1]List!$D$3</definedName>
    <definedName name="appoint" localSheetId="7">#REF!</definedName>
    <definedName name="appoint">#REF!</definedName>
    <definedName name="appoint2">'[2]paramètres entrée'!$B$2:$B$6</definedName>
    <definedName name="autofinancement">'Fiche projet biomasse'!$E$301</definedName>
    <definedName name="B_collectif">'Menus biomasse'!$Y$7</definedName>
    <definedName name="B_entreprise">'Menus biomasse'!$Y$8</definedName>
    <definedName name="Besoins_utiles_projet">'[3]caractéristiques projet'!$D$12</definedName>
    <definedName name="categorie">'Fiche projet biomasse'!$G$30</definedName>
    <definedName name="CD">'Fiche projet biomasse'!$E$301</definedName>
    <definedName name="ch_avenant">[4]AF!$D$11</definedName>
    <definedName name="ch_biomasse_collectif">#REF!</definedName>
    <definedName name="ch_biomasse_industrie">#REF!</definedName>
    <definedName name="ch_chauf_biomasse">[4]AF!$F$24</definedName>
    <definedName name="ch_chaufferie_biomasse">RECAP!$E$24</definedName>
    <definedName name="ch_collectif">'Menus biomasse'!$Y$7</definedName>
    <definedName name="ch_eco">[4]List!$B$2</definedName>
    <definedName name="ch_entreprise">'Menus biomasse'!$Y$8</definedName>
    <definedName name="ch_etudes">[4]AF!$F$22</definedName>
    <definedName name="ch_geothermie">[4]AF!$F$29</definedName>
    <definedName name="ch_grande">[4]List!$C$4</definedName>
    <definedName name="ch_localisation">RECAP!$D$18</definedName>
    <definedName name="ch_mise_en_page">[4]AF!$E$14</definedName>
    <definedName name="ch_moyenne">[4]List!$C$3</definedName>
    <definedName name="ch_nature_activite">'[1]AF fonds chaleur'!$D$16</definedName>
    <definedName name="ch_non_eco">[4]List!$B$3</definedName>
    <definedName name="ch_num_contrat">[4]AF!$D$9</definedName>
    <definedName name="ch_oui">[4]List!$A$2</definedName>
    <definedName name="ch_oui_non">[4]List!$A$2:$A$3</definedName>
    <definedName name="ch_outre_mer">[4]List!$D$3</definedName>
    <definedName name="ch_patrimonial">[4]List!$J$3</definedName>
    <definedName name="ch_petite">[4]List!$C$2</definedName>
    <definedName name="ch_prod_enr">RECAP!#REF!</definedName>
    <definedName name="ch_reseau">[4]AF!$F$31</definedName>
    <definedName name="ch_solaire">[4]AF!$F$26</definedName>
    <definedName name="ch_solaire_bat_exi">[4]List!$G$3</definedName>
    <definedName name="ch_solaire_collectif">[4]List!$E$4</definedName>
    <definedName name="ch_solaire_inj">[4]List!$E$2</definedName>
    <definedName name="ch_solaire_med">#REF!</definedName>
    <definedName name="ch_solaire_nord">#REF!</definedName>
    <definedName name="ch_solaire_sol">#REF!</definedName>
    <definedName name="ch_solaire_sud">#REF!</definedName>
    <definedName name="ch_solaire_toiture">#REF!</definedName>
    <definedName name="ch_taille">RECAP!$D$17</definedName>
    <definedName name="ch_territorial">[4]List!$J$2</definedName>
    <definedName name="checo">[1]List!$A$2</definedName>
    <definedName name="chnoneco">[1]List!$A$3</definedName>
    <definedName name="choui">[1]List!$E$2</definedName>
    <definedName name="collectif">'Menus biomasse'!$Y$7</definedName>
    <definedName name="combustible" localSheetId="7">#REF!</definedName>
    <definedName name="combustible">#REF!</definedName>
    <definedName name="concurrentiel">'Fiche projet biomasse'!$G$28</definedName>
    <definedName name="Conso_annuelle" localSheetId="6">'[5]Fiche de vérification'!$F$19</definedName>
    <definedName name="Conso_annuelle">#REF!</definedName>
    <definedName name="conso_appoint">'Fiche projet biomasse'!$B$157</definedName>
    <definedName name="Création_chauff_app" localSheetId="7">'[3]caractéristiques projet'!#REF!</definedName>
    <definedName name="Création_chauff_app">'[3]caractéristiques projet'!#REF!</definedName>
    <definedName name="date_dda">[4]AF!$D$13</definedName>
    <definedName name="demarche">'[2]paramètres entrée'!$D$2:$D$5</definedName>
    <definedName name="Densite_therm_min" localSheetId="6">#REF!</definedName>
    <definedName name="Densite_therm_min">#REF!</definedName>
    <definedName name="dep_eligibles">'Fiche projet biomasse'!$I$174</definedName>
    <definedName name="entreprise">'Menus biomasse'!$Y$8</definedName>
    <definedName name="essai" localSheetId="7">#REF!</definedName>
    <definedName name="essai">#REF!</definedName>
    <definedName name="Excel_BuiltIn__FilterDatabase_4">'Valeurs de reference'!$F$41:$F$41</definedName>
    <definedName name="filtration">#REF!</definedName>
    <definedName name="forfait">[1]List!$D$2</definedName>
    <definedName name="forfait_biomasse_col_1">#REF!</definedName>
    <definedName name="forfait_biomasse_col_2">#REF!</definedName>
    <definedName name="forfait_biomasse_col_3">#REF!</definedName>
    <definedName name="forfait_biomasse_col_4">#REF!</definedName>
    <definedName name="forfait_biomasse_indus_1">#REF!</definedName>
    <definedName name="forfait_biomasse_indus_2">#REF!</definedName>
    <definedName name="forfait_biomasse_indus_3">#REF!</definedName>
    <definedName name="forfait_biomasse_indus_4">#REF!</definedName>
    <definedName name="forfait_geocooling">#REF!</definedName>
    <definedName name="forfait_pac_mer">#REF!</definedName>
    <definedName name="forfait_pac_sondes">#REF!</definedName>
    <definedName name="forfait_pac_superficiel">#REF!</definedName>
    <definedName name="forfait_pac_usées">#REF!</definedName>
    <definedName name="forfait_reseau_1">#REF!</definedName>
    <definedName name="forfait_reseau_2">#REF!</definedName>
    <definedName name="forfait_reseau_3">#REF!</definedName>
    <definedName name="forfait_solaire_bat_exist_1">#REF!</definedName>
    <definedName name="forfait_solaire_bat_exist_2">#REF!</definedName>
    <definedName name="forfait_solaire_bat_neuf_1">#REF!</definedName>
    <definedName name="forfait_solaire_bat_neuf_2">#REF!</definedName>
    <definedName name="forfait_solaire_med_1">#REF!</definedName>
    <definedName name="forfait_solaire_med_2">#REF!</definedName>
    <definedName name="forfait_solaire_med_3">#REF!</definedName>
    <definedName name="forfait_solaire_nord_1">#REF!</definedName>
    <definedName name="forfait_solaire_nord_2">#REF!</definedName>
    <definedName name="forfait_solaire_nord_3">#REF!</definedName>
    <definedName name="forfait_solaire_sol">#REF!</definedName>
    <definedName name="forfait_solaire_sud_1">#REF!</definedName>
    <definedName name="forfait_solaire_sud_2">#REF!</definedName>
    <definedName name="forfait_solaire_sud_3">#REF!</definedName>
    <definedName name="forfait_solaire_toiture">#REF!</definedName>
    <definedName name="garantie">'[2]paramètres entrée'!$E$2:$E$4</definedName>
    <definedName name="Grande" localSheetId="7">#REF!</definedName>
    <definedName name="Grande">#REF!</definedName>
    <definedName name="heures_fonctio_min" localSheetId="6">#REF!</definedName>
    <definedName name="heures_fonctio_min">#REF!</definedName>
    <definedName name="HTR">[4]List!$I$2</definedName>
    <definedName name="ins_chauf_biomasse">[4]AF!$52:$77,[4]AF!$200:$200</definedName>
    <definedName name="ins_geothermie">[4]AF!$104:$129,[4]AF!$201:$201</definedName>
    <definedName name="ins_solaire">[4]AF!$78:$103,[4]AF!$27:$27</definedName>
    <definedName name="intensité_prod_enrr_eco">[1]paramètres!$K$4:$O$16</definedName>
    <definedName name="intensité_prod_enrr_eco_b">[1]paramètres!$AA$4:$AE$16</definedName>
    <definedName name="intensité_prod_enrr_non_eco">[1]paramètres!$J$17:$N$20</definedName>
    <definedName name="liste_oui_non" localSheetId="6">'Valeurs de reference'!#REF!</definedName>
    <definedName name="liste_oui_non">'[5]Valeurs de reference'!#REF!</definedName>
    <definedName name="llongueur_reseau" localSheetId="6">'[5]Fiche de vérification'!#REF!</definedName>
    <definedName name="llongueur_reseau">#REF!</definedName>
    <definedName name="loc_solaire">[4]List!$D$2:$D$3</definedName>
    <definedName name="longueur_reseau" localSheetId="6">'[5]Fiche de vérification'!$F$23</definedName>
    <definedName name="longueur_reseau">#REF!</definedName>
    <definedName name="mode_calcul_aide">RECAP!$I$15</definedName>
    <definedName name="montant_des_depenses">'Fiche projet biomasse'!$G$174</definedName>
    <definedName name="mt_aide_ademe">[4]AF!$G$163</definedName>
    <definedName name="mt_aide_ademe_region">[4]AF!$M$165</definedName>
    <definedName name="mt_aide_anru">[4]AF!$M$168</definedName>
    <definedName name="mt_aide_autre_a">[4]AF!$M$179</definedName>
    <definedName name="mt_aide_autre0">[4]AF!$M$169</definedName>
    <definedName name="mt_aide_autre1">[4]AF!$M$172</definedName>
    <definedName name="mt_aide_autre2">[4]AF!$M$173</definedName>
    <definedName name="mt_aide_autre3">[4]AF!$M$174</definedName>
    <definedName name="mt_aide_cee">[4]AF!$M$171</definedName>
    <definedName name="mt_aide_credit_bail">[4]AF!$M$178</definedName>
    <definedName name="mt_aide_emprunt">[4]AF!$M$177</definedName>
    <definedName name="mt_aide_etat">[4]AF!$M$166</definedName>
    <definedName name="mt_aide_feder">[4]AF!$M$167</definedName>
    <definedName name="mt_aide_fp">[4]AF!$M$176</definedName>
    <definedName name="mt_aide_region">[4]AF!$M$164</definedName>
    <definedName name="mt_forfait_biomasse_b">[1]paramètres!$S$21:$T$25</definedName>
    <definedName name="mt_forfait_biomasse_r">[1]paramètres!$S$28:$T$32</definedName>
    <definedName name="nat_appoint">'Fiche projet biomasse'!$B$154</definedName>
    <definedName name="nb_acc_grande">[4]AF!$I$46</definedName>
    <definedName name="nb_acc_moy">[4]AF!$I$45</definedName>
    <definedName name="nb_acc_neco">[4]AF!$I$43</definedName>
    <definedName name="nb_acc_petite">[4]AF!$I$44</definedName>
    <definedName name="nb_aide_privee">[4]AF!$I$195</definedName>
    <definedName name="nb_aide_publique">[4]AF!$I$190</definedName>
    <definedName name="nb_appoint">'Fiche projet biomasse'!$F$153</definedName>
    <definedName name="nb_autofinancement">[4]AF!$I$205</definedName>
    <definedName name="nb_biomasse">[4]AF!$K$24</definedName>
    <definedName name="nb_erreur">[4]AF!$P$1</definedName>
    <definedName name="nb_geothermie">[4]AF!$K$29</definedName>
    <definedName name="nb_mode_vers_en_tete">[4]AF!$195:$196,[4]AF!$206:$207</definedName>
    <definedName name="nb_nvle_ss">'[3]caractéristiques projet'!$D$34</definedName>
    <definedName name="nb_reseau">[4]AF!$K$31</definedName>
    <definedName name="nb_solaire">[4]AF!$K$26</definedName>
    <definedName name="nrj_appoint">'Fiche projet biomasse'!$B$156</definedName>
    <definedName name="ouinon" localSheetId="7">#REF!</definedName>
    <definedName name="ouinon">#REF!</definedName>
    <definedName name="parametres">#REF!</definedName>
    <definedName name="pf">'[2]paramètres entrée'!$A$2:$A$6</definedName>
    <definedName name="plafond_accomp_projet">#REF!</definedName>
    <definedName name="plafond_diag">#REF!</definedName>
    <definedName name="_xlnm.Print_Area" localSheetId="2">RECAP!$A$1:$H$111</definedName>
    <definedName name="_xlnm.Print_Area" localSheetId="6">'Valeurs de reference'!$D$1:$G$58</definedName>
    <definedName name="prix_appoint">'Fiche projet biomasse'!$B$159</definedName>
    <definedName name="Prix_biomasse">'[3]caractéristiques projet'!$D$22</definedName>
    <definedName name="Prod_biomasse" localSheetId="7">'[3]caractéristiques projet'!$D$18</definedName>
    <definedName name="Prod_biomasse">'Fiche projet biomasse'!$G$128</definedName>
    <definedName name="prod_biomasse_r">RECAP!#REF!</definedName>
    <definedName name="Prod_chaud_app">'[3]caractéristiques projet'!$D$27</definedName>
    <definedName name="production">'Fiche projet biomasse'!$H$270</definedName>
    <definedName name="Puiss_app_exist" localSheetId="7">'[3]caractéristiques projet'!#REF!</definedName>
    <definedName name="Puiss_app_exist">'[3]caractéristiques projet'!#REF!</definedName>
    <definedName name="Puiss_appoint">'[3]caractéristiques projet'!$D$26</definedName>
    <definedName name="Puiss_biomasse">'Fiche projet biomasse'!$G$124</definedName>
    <definedName name="Puiss_bois" localSheetId="6">'[5]Fiche de vérification'!$F$17</definedName>
    <definedName name="Puiss_bois">#REF!</definedName>
    <definedName name="Puiss_totale" localSheetId="6">'[5]Fiche de vérification'!$F$16</definedName>
    <definedName name="Puiss_totale">#REF!</definedName>
    <definedName name="puissance_appoint">'Fiche projet biomasse'!$B$155</definedName>
    <definedName name="Puissance_biomasse" localSheetId="7">'[3]caractéristiques projet'!$D$17</definedName>
    <definedName name="Puissance_biomasse">'[6]caractéristiques projet'!$D$19</definedName>
    <definedName name="ref">'[2]paramètres entrée'!$C$2:$C$7</definedName>
    <definedName name="reseau" localSheetId="7">#REF!</definedName>
    <definedName name="reseau">#REF!</definedName>
    <definedName name="seuil_forfait_biomasse_1">#REF!</definedName>
    <definedName name="seuil_forfait_biomasse_2">#REF!</definedName>
    <definedName name="seuil_forfait_biomasse_3">#REF!</definedName>
    <definedName name="seuil_forfait_solaire_1">#REF!</definedName>
    <definedName name="seuil_forfait_solaire_2">#REF!</definedName>
    <definedName name="seuil_mini_biomasse">#REF!</definedName>
    <definedName name="seuil_mini_solaire">#REF!</definedName>
    <definedName name="Statut_investisseur">'[3]caractéristiques projet'!$D$10</definedName>
    <definedName name="sub_ADEME">'Simulation FC'!$E$28</definedName>
    <definedName name="subvention_ADEME">'Simulation FC'!$E$8</definedName>
    <definedName name="subvention_ADEMEp">'Simulation FC'!$E$8</definedName>
    <definedName name="subvention_ADEMEr">'Simulation FC'!$F$17</definedName>
    <definedName name="subventions">'Fiche projet biomasse'!$E$302</definedName>
    <definedName name="subventions_tot">'Fiche projet biomasse'!$E$302</definedName>
    <definedName name="technologie_geothermie">#REF!</definedName>
    <definedName name="Texte4" localSheetId="1">'Fiche projet biomasse'!#REF!</definedName>
    <definedName name="Texte5" localSheetId="1">'Fiche projet biomasse'!#REF!</definedName>
    <definedName name="Texte7" localSheetId="1">'Fiche projet biomasse'!#REF!</definedName>
    <definedName name="Texte8" localSheetId="1">'Fiche projet biomasse'!#REF!</definedName>
    <definedName name="total_depenses">'Fiche projet biomasse'!$G$174</definedName>
    <definedName name="Tx_charge_min" localSheetId="6">#REF!</definedName>
    <definedName name="Tx_charge_min">#REF!</definedName>
    <definedName name="Tx_couverture_min" localSheetId="6">#REF!</definedName>
    <definedName name="Tx_couverture_min">#REF!</definedName>
    <definedName name="type_contrat">[4]List!$J$2:$J$3</definedName>
    <definedName name="type_de_projet" localSheetId="7">#REF!</definedName>
    <definedName name="type_de_projet">#REF!</definedName>
    <definedName name="type_forfait_solaire_1">#REF!</definedName>
    <definedName name="type_forfait_solaire_2">#REF!</definedName>
    <definedName name="type_investisseur">#REF!</definedName>
    <definedName name="Type_projet" localSheetId="7">'[3]caractéristiques projet'!$D$9</definedName>
    <definedName name="Type_projet">'[6]caractéristiques projet'!$D$10</definedName>
    <definedName name="usage_biomasse">#REF!</definedName>
    <definedName name="usage_chaufferie_bois">RECAP!#REF!</definedName>
    <definedName name="usage_solaire">[4]List!$E$3:$E$6</definedName>
    <definedName name="Ventes_clients" localSheetId="7">'[3]caractéristiques projet'!#REF!</definedName>
    <definedName name="Ventes_clients">'[3]caractéristiques projet'!#REF!</definedName>
    <definedName name="vol_total_silo" localSheetId="6">'[5]Fiche de vérification'!$F$63</definedName>
    <definedName name="vol_total_silo">#REF!</definedName>
    <definedName name="vol_utile_silo" localSheetId="6">'[5]Fiche de vérification'!$F$65</definedName>
    <definedName name="vol_utile_silo">#REF!</definedName>
    <definedName name="zero">'Fiche projet biomasse'!$O$1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2" i="21" l="1"/>
  <c r="E206" i="21" s="1"/>
  <c r="B93" i="21"/>
  <c r="H90" i="21"/>
  <c r="I90" i="21"/>
  <c r="J90" i="21"/>
  <c r="K90" i="21"/>
  <c r="L90" i="21"/>
  <c r="M90" i="21"/>
  <c r="N90" i="21"/>
  <c r="O90" i="21"/>
  <c r="P90" i="21"/>
  <c r="Q90" i="21"/>
  <c r="R90" i="21"/>
  <c r="H299" i="21"/>
  <c r="C33" i="27"/>
  <c r="D32" i="27"/>
  <c r="G222" i="21"/>
  <c r="C35" i="27" s="1"/>
  <c r="C34" i="27"/>
  <c r="F174" i="21" l="1"/>
  <c r="I174" i="21" s="1"/>
  <c r="L301" i="21"/>
  <c r="L300" i="21"/>
  <c r="I282" i="21"/>
  <c r="J219" i="21"/>
  <c r="H86" i="21"/>
  <c r="I86" i="21"/>
  <c r="J86" i="21"/>
  <c r="K86" i="21"/>
  <c r="L86" i="21"/>
  <c r="M86" i="21"/>
  <c r="N86" i="21"/>
  <c r="O86" i="21"/>
  <c r="P86" i="21"/>
  <c r="Q86" i="21"/>
  <c r="R86" i="21"/>
  <c r="C2" i="28"/>
  <c r="H141" i="21"/>
  <c r="C32" i="27" l="1"/>
  <c r="C37" i="27"/>
  <c r="I12" i="28" a="1"/>
  <c r="I12" i="28" s="1"/>
  <c r="Q145" i="21"/>
  <c r="Q144" i="21"/>
  <c r="Q143" i="21"/>
  <c r="Q142" i="21"/>
  <c r="I142" i="21"/>
  <c r="K276" i="21" s="1"/>
  <c r="I145" i="21"/>
  <c r="K279" i="21" s="1"/>
  <c r="I144" i="21"/>
  <c r="K278" i="21" s="1"/>
  <c r="I143" i="21"/>
  <c r="K277" i="21" s="1"/>
  <c r="D19" i="28"/>
  <c r="D18" i="28"/>
  <c r="D17" i="28"/>
  <c r="H269" i="21"/>
  <c r="K240" i="21"/>
  <c r="J240" i="21" s="1"/>
  <c r="C309" i="21"/>
  <c r="H131" i="21"/>
  <c r="H106" i="21"/>
  <c r="I91" i="21"/>
  <c r="J91" i="21"/>
  <c r="K91" i="21"/>
  <c r="L91" i="21"/>
  <c r="M91" i="21"/>
  <c r="N91" i="21"/>
  <c r="O91" i="21"/>
  <c r="P91" i="21"/>
  <c r="Q91" i="21"/>
  <c r="R91" i="21"/>
  <c r="H91" i="21"/>
  <c r="H76" i="21"/>
  <c r="I76" i="21"/>
  <c r="J76" i="21"/>
  <c r="K76" i="21"/>
  <c r="L76" i="21"/>
  <c r="M76" i="21"/>
  <c r="N76" i="21"/>
  <c r="O76" i="21"/>
  <c r="P76" i="21"/>
  <c r="Q76" i="21"/>
  <c r="R76" i="21"/>
  <c r="G221" i="21"/>
  <c r="C35" i="28" l="1"/>
  <c r="C36" i="28"/>
  <c r="G17" i="28"/>
  <c r="C37" i="28"/>
  <c r="B34" i="28"/>
  <c r="D309" i="21" l="1"/>
  <c r="H276" i="21" l="1"/>
  <c r="H274" i="21"/>
  <c r="H279" i="21"/>
  <c r="C212" i="21"/>
  <c r="I150" i="21"/>
  <c r="J150" i="21" s="1"/>
  <c r="K265" i="21"/>
  <c r="J145" i="21"/>
  <c r="J144" i="21"/>
  <c r="J143" i="21"/>
  <c r="J142" i="21"/>
  <c r="H236" i="21"/>
  <c r="G236" i="21"/>
  <c r="F182" i="21" l="1"/>
  <c r="F75" i="21"/>
  <c r="B5" i="21"/>
  <c r="B2" i="21"/>
  <c r="H238" i="21" l="1"/>
  <c r="J238" i="21" s="1"/>
  <c r="H288" i="21" s="1"/>
  <c r="G238" i="21"/>
  <c r="K292" i="21"/>
  <c r="F12" i="28"/>
  <c r="H12" i="28"/>
  <c r="C12" i="28"/>
  <c r="K290" i="21"/>
  <c r="F12" i="25"/>
  <c r="E12" i="25"/>
  <c r="D12" i="25"/>
  <c r="D24" i="25"/>
  <c r="D25" i="25"/>
  <c r="D26" i="25"/>
  <c r="D23" i="25"/>
  <c r="H17" i="28"/>
  <c r="C8" i="28"/>
  <c r="G8" i="28"/>
  <c r="E8" i="28" s="1"/>
  <c r="B10" i="28"/>
  <c r="D17" i="27"/>
  <c r="H232" i="21"/>
  <c r="J232" i="21" s="1"/>
  <c r="H287" i="21" s="1"/>
  <c r="K275" i="21"/>
  <c r="I238" i="21" l="1"/>
  <c r="F8" i="28"/>
  <c r="B7" i="25"/>
  <c r="B7" i="27"/>
  <c r="G130" i="21" l="1"/>
  <c r="D199" i="21"/>
  <c r="C213" i="21"/>
  <c r="G204" i="21"/>
  <c r="G199" i="21"/>
  <c r="F203" i="21"/>
  <c r="F200" i="21"/>
  <c r="I128" i="21" l="1"/>
  <c r="H128" i="21"/>
  <c r="C7" i="25" l="1"/>
  <c r="C16" i="25" s="1"/>
  <c r="E16" i="25" l="1"/>
  <c r="D16" i="25"/>
  <c r="H127" i="21"/>
  <c r="G76" i="21"/>
  <c r="G86" i="21"/>
  <c r="G90" i="21"/>
  <c r="G91" i="21" l="1"/>
  <c r="F91" i="21"/>
  <c r="B8" i="27"/>
  <c r="H26" i="21"/>
  <c r="B108" i="28"/>
  <c r="B107" i="28"/>
  <c r="E19" i="28"/>
  <c r="B20" i="29"/>
  <c r="B19" i="29"/>
  <c r="G232" i="21"/>
  <c r="K289" i="21"/>
  <c r="I236" i="21"/>
  <c r="L229" i="21"/>
  <c r="I231" i="21"/>
  <c r="I233" i="21"/>
  <c r="I234" i="21"/>
  <c r="I235" i="21"/>
  <c r="I230" i="21"/>
  <c r="I227" i="21"/>
  <c r="I226" i="21"/>
  <c r="H225" i="21"/>
  <c r="H237" i="21" s="1"/>
  <c r="G225" i="21"/>
  <c r="G237" i="21" s="1"/>
  <c r="I309" i="21"/>
  <c r="C22" i="27" l="1"/>
  <c r="E22" i="27" s="1"/>
  <c r="J227" i="21"/>
  <c r="E12" i="28"/>
  <c r="B97" i="28" s="1"/>
  <c r="I232" i="21"/>
  <c r="N309" i="21"/>
  <c r="B11" i="28"/>
  <c r="B64" i="28" s="1"/>
  <c r="K269" i="21"/>
  <c r="I225" i="21"/>
  <c r="P309" i="21" s="1"/>
  <c r="C36" i="27" l="1"/>
  <c r="C38" i="27" s="1"/>
  <c r="M302" i="21" s="1"/>
  <c r="E33" i="27"/>
  <c r="C49" i="28"/>
  <c r="C48" i="28"/>
  <c r="B98" i="28"/>
  <c r="C65" i="28"/>
  <c r="C68" i="28"/>
  <c r="C67" i="28"/>
  <c r="C66" i="28"/>
  <c r="I237" i="21"/>
  <c r="J237" i="21" s="1"/>
  <c r="H286" i="21" s="1"/>
  <c r="G19" i="28" s="1"/>
  <c r="Q309" i="21"/>
  <c r="B12" i="28" s="1"/>
  <c r="B5" i="28"/>
  <c r="C7" i="27" l="1"/>
  <c r="F94" i="21"/>
  <c r="J235" i="21" s="1"/>
  <c r="F87" i="21"/>
  <c r="K286" i="21" l="1"/>
  <c r="C8" i="27"/>
  <c r="D8" i="27" s="1"/>
  <c r="C9" i="28"/>
  <c r="F309" i="21"/>
  <c r="M309" i="21" l="1"/>
  <c r="G14" i="28" s="1"/>
  <c r="J309" i="21"/>
  <c r="F90" i="21" l="1"/>
  <c r="H266" i="21" l="1"/>
  <c r="J106" i="21"/>
  <c r="D204" i="21"/>
  <c r="O309" i="21" s="1"/>
  <c r="D197" i="21"/>
  <c r="F188" i="21"/>
  <c r="F189" i="21"/>
  <c r="F190" i="21"/>
  <c r="F187" i="21"/>
  <c r="F183" i="21"/>
  <c r="F184" i="21"/>
  <c r="F185" i="21"/>
  <c r="H126" i="21" l="1"/>
  <c r="H271" i="21"/>
  <c r="J271" i="21" s="1"/>
  <c r="E11" i="28"/>
  <c r="B211" i="21"/>
  <c r="F181" i="21"/>
  <c r="F199" i="21" s="1"/>
  <c r="F186" i="21"/>
  <c r="F204" i="21" s="1"/>
  <c r="D20" i="28" l="1"/>
  <c r="H277" i="21"/>
  <c r="K285" i="21"/>
  <c r="K284" i="21"/>
  <c r="K283" i="21"/>
  <c r="K272" i="21"/>
  <c r="H270" i="21"/>
  <c r="K270" i="21" s="1"/>
  <c r="F77" i="21" l="1"/>
  <c r="F78" i="21"/>
  <c r="F79" i="21"/>
  <c r="P85" i="26"/>
  <c r="O85" i="26"/>
  <c r="N85" i="26"/>
  <c r="M85" i="26"/>
  <c r="L85" i="26"/>
  <c r="K85" i="26"/>
  <c r="J85" i="26"/>
  <c r="I85" i="26"/>
  <c r="H85" i="26"/>
  <c r="G85" i="26"/>
  <c r="F85" i="26"/>
  <c r="E85" i="26"/>
  <c r="F76" i="21" l="1"/>
  <c r="F85" i="21" l="1"/>
  <c r="I271" i="21" l="1"/>
  <c r="E10" i="28" l="1"/>
  <c r="H10" i="28" s="1"/>
  <c r="C47" i="28" s="1"/>
  <c r="G246" i="21"/>
  <c r="B10" i="29" s="1"/>
  <c r="H28" i="21" l="1"/>
  <c r="E309" i="21" l="1"/>
  <c r="B13" i="28" l="1"/>
  <c r="B62" i="28" l="1"/>
  <c r="H11" i="28"/>
  <c r="G11" i="28"/>
  <c r="C21" i="27"/>
  <c r="E21" i="27" s="1"/>
  <c r="C20" i="27"/>
  <c r="E20" i="27" s="1"/>
  <c r="C19" i="27"/>
  <c r="E19" i="27" s="1"/>
  <c r="C18" i="27"/>
  <c r="E18" i="27" s="1"/>
  <c r="C17" i="27"/>
  <c r="E17" i="27" s="1"/>
  <c r="C30" i="28" l="1"/>
  <c r="B31" i="28"/>
  <c r="C32" i="28"/>
  <c r="F17" i="27"/>
  <c r="K298" i="21" s="1"/>
  <c r="K288" i="21"/>
  <c r="K287" i="21" l="1"/>
  <c r="S309" i="21"/>
  <c r="E23" i="27"/>
  <c r="F89" i="21"/>
  <c r="D7" i="25" l="1"/>
  <c r="C36" i="25" l="1"/>
  <c r="C37" i="25" s="1"/>
  <c r="F16" i="25"/>
  <c r="E36" i="25"/>
  <c r="E37" i="25" s="1"/>
  <c r="D36" i="25"/>
  <c r="D37" i="25" s="1"/>
  <c r="C10" i="27" l="1"/>
  <c r="D10" i="27" s="1"/>
  <c r="B9" i="27" l="1"/>
  <c r="B10" i="27"/>
  <c r="B11" i="27"/>
  <c r="C9" i="27"/>
  <c r="C11" i="27"/>
  <c r="D11" i="27" s="1"/>
  <c r="F36" i="25"/>
  <c r="D9" i="27" l="1"/>
  <c r="F37" i="25"/>
  <c r="F24" i="26"/>
  <c r="F18" i="26"/>
  <c r="F17" i="26"/>
  <c r="F16" i="26"/>
  <c r="F15" i="26"/>
  <c r="F14" i="26"/>
  <c r="F13" i="26"/>
  <c r="AQ10" i="26"/>
  <c r="AO10" i="26"/>
  <c r="AM10" i="26"/>
  <c r="AK10" i="26"/>
  <c r="AQ9" i="26"/>
  <c r="AO9" i="26"/>
  <c r="AM9" i="26"/>
  <c r="AK9" i="26"/>
  <c r="AQ7" i="26"/>
  <c r="AO7" i="26"/>
  <c r="AM7" i="26"/>
  <c r="AK7" i="26"/>
  <c r="E8" i="27" l="1"/>
  <c r="G37" i="25"/>
  <c r="D12" i="27"/>
  <c r="E7" i="25"/>
  <c r="E28" i="27" l="1"/>
  <c r="I298" i="21"/>
  <c r="R309" i="21" l="1"/>
  <c r="A7" i="29"/>
  <c r="M163" i="21"/>
  <c r="G250" i="21" s="1"/>
  <c r="M164" i="21"/>
  <c r="M162" i="21"/>
  <c r="F82" i="21"/>
  <c r="G248" i="21" l="1"/>
  <c r="B11" i="29" s="1"/>
  <c r="L165" i="21"/>
  <c r="F1" i="29" s="1"/>
  <c r="B12" i="29"/>
  <c r="G252" i="21"/>
  <c r="B13" i="29" s="1"/>
  <c r="G122" i="21"/>
  <c r="H124" i="21" s="1"/>
  <c r="A4" i="29" l="1"/>
  <c r="H122" i="21"/>
  <c r="Q25" i="29"/>
  <c r="D25" i="29"/>
  <c r="F25" i="29"/>
  <c r="G25" i="29"/>
  <c r="P25" i="29"/>
  <c r="L25" i="29"/>
  <c r="C25" i="29"/>
  <c r="J25" i="29"/>
  <c r="I25" i="29"/>
  <c r="M25" i="29"/>
  <c r="K25" i="29"/>
  <c r="T25" i="29"/>
  <c r="U25" i="29"/>
  <c r="B25" i="29"/>
  <c r="H25" i="29"/>
  <c r="O25" i="29"/>
  <c r="E25" i="29"/>
  <c r="R25" i="29"/>
  <c r="N25" i="29"/>
  <c r="S25" i="29"/>
  <c r="K309" i="21" l="1"/>
  <c r="E14" i="28" s="1"/>
  <c r="H29" i="29"/>
  <c r="J29" i="29"/>
  <c r="D29" i="29"/>
  <c r="P29" i="29"/>
  <c r="G29" i="29"/>
  <c r="U29" i="29"/>
  <c r="B27" i="29"/>
  <c r="V27" i="29" s="1"/>
  <c r="E29" i="29"/>
  <c r="K29" i="29"/>
  <c r="Q29" i="29"/>
  <c r="I29" i="29"/>
  <c r="S29" i="29"/>
  <c r="L29" i="29"/>
  <c r="R29" i="29"/>
  <c r="N29" i="29"/>
  <c r="M29" i="29"/>
  <c r="B29" i="29"/>
  <c r="F29" i="29"/>
  <c r="O29" i="29"/>
  <c r="T29" i="29"/>
  <c r="C29" i="29"/>
  <c r="B81" i="21"/>
  <c r="H31" i="21"/>
  <c r="V29" i="29" l="1"/>
  <c r="E182" i="21" l="1"/>
  <c r="E183" i="21" l="1"/>
  <c r="E188" i="21"/>
  <c r="E193" i="21"/>
  <c r="E189" i="21"/>
  <c r="E194" i="21"/>
  <c r="E190" i="21"/>
  <c r="E195" i="21"/>
  <c r="E187" i="21"/>
  <c r="E185" i="21"/>
  <c r="E196" i="21"/>
  <c r="E184" i="21"/>
  <c r="E192" i="21"/>
  <c r="E197" i="21"/>
  <c r="E180" i="21"/>
  <c r="E200" i="21" s="1"/>
  <c r="D205" i="21"/>
  <c r="C214" i="21" s="1"/>
  <c r="E201" i="21" l="1"/>
  <c r="E203" i="21" l="1"/>
  <c r="E204" i="21" l="1"/>
  <c r="E199" i="21"/>
  <c r="C25" i="25"/>
  <c r="E25" i="25" s="1"/>
  <c r="E202" i="21"/>
  <c r="C26" i="25" l="1"/>
  <c r="E26" i="25" s="1"/>
  <c r="C211" i="21"/>
  <c r="C23" i="25"/>
  <c r="E23" i="25" s="1"/>
  <c r="C24" i="25"/>
  <c r="E24" i="25" s="1"/>
  <c r="E205" i="21"/>
  <c r="H281" i="21" l="1"/>
  <c r="M161" i="21"/>
  <c r="M165" i="21" s="1"/>
  <c r="K281" i="21" l="1"/>
  <c r="G18" i="28"/>
  <c r="F86" i="21" l="1"/>
  <c r="G127" i="21" s="1"/>
  <c r="F88" i="21"/>
  <c r="G129" i="21" l="1"/>
  <c r="H129" i="21" s="1"/>
  <c r="J233" i="21"/>
  <c r="K31" i="29"/>
  <c r="K33" i="29" s="1"/>
  <c r="K35" i="29" s="1"/>
  <c r="K39" i="29" s="1"/>
  <c r="K40" i="29" s="1"/>
  <c r="N31" i="29"/>
  <c r="N33" i="29" s="1"/>
  <c r="N35" i="29" s="1"/>
  <c r="N39" i="29" s="1"/>
  <c r="N40" i="29" s="1"/>
  <c r="L31" i="29"/>
  <c r="L33" i="29" s="1"/>
  <c r="L35" i="29" s="1"/>
  <c r="L39" i="29" s="1"/>
  <c r="L40" i="29" s="1"/>
  <c r="U31" i="29"/>
  <c r="U33" i="29" s="1"/>
  <c r="U35" i="29" s="1"/>
  <c r="U39" i="29" s="1"/>
  <c r="U40" i="29" s="1"/>
  <c r="H31" i="29"/>
  <c r="H33" i="29" s="1"/>
  <c r="H35" i="29" s="1"/>
  <c r="H39" i="29" s="1"/>
  <c r="H40" i="29" s="1"/>
  <c r="F31" i="29"/>
  <c r="F33" i="29" s="1"/>
  <c r="F35" i="29" s="1"/>
  <c r="F39" i="29" s="1"/>
  <c r="F40" i="29" s="1"/>
  <c r="G31" i="29"/>
  <c r="G33" i="29" s="1"/>
  <c r="G35" i="29" s="1"/>
  <c r="G39" i="29" s="1"/>
  <c r="G40" i="29" s="1"/>
  <c r="T31" i="29"/>
  <c r="T33" i="29" s="1"/>
  <c r="T35" i="29" s="1"/>
  <c r="T39" i="29" s="1"/>
  <c r="T40" i="29" s="1"/>
  <c r="I31" i="29"/>
  <c r="I33" i="29" s="1"/>
  <c r="I35" i="29" s="1"/>
  <c r="I39" i="29" s="1"/>
  <c r="I40" i="29" s="1"/>
  <c r="Q31" i="29"/>
  <c r="Q33" i="29" s="1"/>
  <c r="Q35" i="29" s="1"/>
  <c r="Q39" i="29" s="1"/>
  <c r="Q40" i="29" s="1"/>
  <c r="R31" i="29"/>
  <c r="R33" i="29" s="1"/>
  <c r="R35" i="29" s="1"/>
  <c r="R39" i="29" s="1"/>
  <c r="R40" i="29" s="1"/>
  <c r="J31" i="29"/>
  <c r="J33" i="29" s="1"/>
  <c r="J35" i="29" s="1"/>
  <c r="J39" i="29" s="1"/>
  <c r="J40" i="29" s="1"/>
  <c r="P31" i="29"/>
  <c r="P33" i="29" s="1"/>
  <c r="P35" i="29" s="1"/>
  <c r="P39" i="29" s="1"/>
  <c r="P40" i="29" s="1"/>
  <c r="D31" i="29"/>
  <c r="D33" i="29" s="1"/>
  <c r="D35" i="29" s="1"/>
  <c r="D39" i="29" s="1"/>
  <c r="D40" i="29" s="1"/>
  <c r="B37" i="29"/>
  <c r="V37" i="29" s="1"/>
  <c r="M31" i="29"/>
  <c r="M33" i="29" s="1"/>
  <c r="M35" i="29" s="1"/>
  <c r="M39" i="29" s="1"/>
  <c r="M40" i="29" s="1"/>
  <c r="E31" i="29"/>
  <c r="E33" i="29" s="1"/>
  <c r="E35" i="29" s="1"/>
  <c r="E39" i="29" s="1"/>
  <c r="E40" i="29" s="1"/>
  <c r="O31" i="29"/>
  <c r="O33" i="29" s="1"/>
  <c r="O35" i="29" s="1"/>
  <c r="O39" i="29" s="1"/>
  <c r="O40" i="29" s="1"/>
  <c r="C31" i="29"/>
  <c r="C33" i="29" s="1"/>
  <c r="C35" i="29" s="1"/>
  <c r="C39" i="29" s="1"/>
  <c r="C40" i="29" s="1"/>
  <c r="S31" i="29"/>
  <c r="S33" i="29" s="1"/>
  <c r="S35" i="29" s="1"/>
  <c r="S39" i="29" s="1"/>
  <c r="S40" i="29" s="1"/>
  <c r="B31" i="29"/>
  <c r="B33" i="29" s="1"/>
  <c r="V33" i="29" l="1"/>
  <c r="B35" i="29"/>
  <c r="V31" i="29"/>
  <c r="V35" i="29" l="1"/>
  <c r="B39" i="29"/>
  <c r="A43" i="29" s="1"/>
  <c r="C40" i="27" s="1"/>
  <c r="E39" i="27" s="1"/>
  <c r="J299" i="21" s="1"/>
  <c r="V39" i="29" l="1"/>
  <c r="B40" i="29"/>
  <c r="M301" i="21" l="1"/>
  <c r="A45" i="29"/>
  <c r="V40" i="29"/>
  <c r="H300" i="21"/>
  <c r="E299" i="21" s="1"/>
  <c r="M300" i="21"/>
  <c r="L309" i="21" l="1"/>
  <c r="B14" i="28" s="1"/>
  <c r="E298" i="21"/>
  <c r="E305" i="21" l="1"/>
  <c r="F298" i="21" s="1"/>
  <c r="C15" i="28" s="1"/>
  <c r="J302" i="21"/>
  <c r="G20" i="28" s="1"/>
  <c r="K19" i="28" s="1"/>
  <c r="F302" i="21" l="1"/>
  <c r="F301" i="21"/>
  <c r="F304" i="21"/>
  <c r="F300" i="21"/>
  <c r="F305" i="21"/>
  <c r="F303" i="21"/>
  <c r="F297" i="21"/>
  <c r="F299" i="21"/>
  <c r="K12" i="28"/>
  <c r="J12" i="28"/>
</calcChain>
</file>

<file path=xl/comments1.xml><?xml version="1.0" encoding="utf-8"?>
<comments xmlns="http://schemas.openxmlformats.org/spreadsheetml/2006/main">
  <authors>
    <author>LAFAYE Nelly</author>
    <author>PORTIER Louis</author>
    <author>VAYSSIE Fanny</author>
    <author>HEITZMANN Mickaël</author>
    <author>tc={4E52EE57-909C-4DD0-98F0-F47A25203C7B}</author>
    <author>tc={AF3C4590-7203-412A-8719-87D1D3D714DF}</author>
    <author>tc={5C087636-C7B8-4DE2-8511-BE0749C68227}</author>
  </authors>
  <commentList>
    <comment ref="F21" authorId="0" shapeId="0">
      <text>
        <r>
          <rPr>
            <b/>
            <sz val="9"/>
            <color indexed="81"/>
            <rFont val="Tahoma"/>
            <family val="2"/>
          </rPr>
          <t>Donner un n° différent à chaque projet pour le retrouver dans les PV de commission d'attribution des aides et dans les ERD pour les paiements
Exemple : 20240125-01</t>
        </r>
      </text>
    </comment>
    <comment ref="B28" authorId="0" shapeId="0">
      <text>
        <r>
          <rPr>
            <sz val="8"/>
            <color indexed="81"/>
            <rFont val="Tahoma"/>
            <family val="2"/>
          </rPr>
          <t xml:space="preserve">En droit européen, la notion d'entreprise est large: elle désigne toute entité, privée ou publique, qui exerce une activité économique (en simplifiant à l’extrême : fourniture d’un service à un tiers contre rémunération). On peut considérer que dans le cas des projets EnR qui nous intéressent les opérations sont classées en activité économique. Néanmoins des exceptions sont possibles :  
- Les bâtiments publics accessibles gratuitement, dont les bâtiments d’enseignement publics (écoles, collèges, lycées et enseignements supérieurs) 
- Les bâtiments de santé sous régime obligatoire de sécurité sociale fonctionnant selon le principe de solidarité : hôpitaux, Maisons de retraites rattachés à des hôpitaux, handicap (MDPH, ESAT) 
- Les bâtiments des services régaliens de l’état (gendarmerie, justice,..) 
</t>
        </r>
        <r>
          <rPr>
            <b/>
            <sz val="9"/>
            <color indexed="81"/>
            <rFont val="Tahoma"/>
            <family val="2"/>
          </rPr>
          <t xml:space="preserve">
</t>
        </r>
        <r>
          <rPr>
            <sz val="9"/>
            <color indexed="81"/>
            <rFont val="Tahoma"/>
            <family val="2"/>
          </rPr>
          <t xml:space="preserve">De fait toutes les autres activités relèvent d’une activité économique, en particulier : 
- les bâtiments associatifs et d’entreprise 
- les établissements de santé privés (cliniques, Maisons de retraites privées,..) 
- les bâtiments publics en activité économique (logement communal, Salle de spectacle, cinéma …) 
- les maisons de retraite publiques si la sécurité sociale et le CCAS ne couvrent pas la totalité des charges  
- Les copropriétés sont à considérer dans le secteur économique 
Si l’activité économique est accessoire par rapport à l’activité non économique principale ( en ce sens que l’activité économique n’excède pas 15% des couts de l’opération financée), alors l’intégralité de l’aide pourra être exclue du champ d’application des règles communautaires. 
</t>
        </r>
      </text>
    </comment>
    <comment ref="J28" authorId="0" shapeId="0">
      <text>
        <r>
          <rPr>
            <sz val="9"/>
            <color indexed="81"/>
            <rFont val="Tahoma"/>
            <family val="2"/>
          </rPr>
          <t xml:space="preserve">Classement des entreprises (détaillé en annexe 3 du régime SA.59108) : Une entreprise est considérée d’office comme grande (GE) sauf si les conditions suivantes sur l’effectif et le chiffre d’affaires ou le total du bilan sont respectées : 
Petite entreprise : effectifs &lt;50 / Chiffre d'affaire ≤ 10 millions d’euros  
Moyenne entreprise : effectifs &lt; 250 / Chiffre d'affaire ≤ 50 millions d’euros ou Total du bilan ≤ 43 millions d’euros 
Attention, pour les entreprises liées ou entreprises partenaires au-delà de 25 % du capital, il y’a lieu de considérer le classement de la plus grande des entreprises.   
Cas des collectivités : Pour l'ADEME, pour une collectivité dans le cadre d’une activité économique, seuls l’effectif et le budget affectés à l’opération financée seront pris en compte pour déterminer la taille de la structure à aider. 
</t>
        </r>
      </text>
    </comment>
    <comment ref="B30" authorId="1" shapeId="0">
      <text>
        <r>
          <rPr>
            <sz val="9"/>
            <color indexed="81"/>
            <rFont val="Tahoma"/>
            <family val="2"/>
          </rPr>
          <t>Si plusieurs consommateurs: mettre la catégorie dominante. Le chauffage de locaux industriels pourra être considéré comme du collectif, sauf si ce chauffage fait partie du process (serres, élevages,…).</t>
        </r>
      </text>
    </comment>
    <comment ref="B45" authorId="2" shapeId="0">
      <text>
        <r>
          <rPr>
            <b/>
            <sz val="9"/>
            <color indexed="81"/>
            <rFont val="Tahoma"/>
            <family val="2"/>
          </rPr>
          <t>Insérer des cellules se besoin (clic droit sur la colonne des lignes à gauche)</t>
        </r>
      </text>
    </comment>
    <comment ref="B65" authorId="2" shapeId="0">
      <text>
        <r>
          <rPr>
            <b/>
            <sz val="9"/>
            <color indexed="81"/>
            <rFont val="Tahoma"/>
            <family val="2"/>
          </rPr>
          <t>le tableau continue dans les cellules masquées si besoin</t>
        </r>
      </text>
    </comment>
    <comment ref="B102" authorId="0" shapeId="0">
      <text>
        <r>
          <rPr>
            <b/>
            <sz val="9"/>
            <color indexed="81"/>
            <rFont val="Tahoma"/>
            <family val="2"/>
          </rPr>
          <t>L’ADEME invite les porteurs de projet à s’inscrire une démarche de type E’nRChoix, outil d’aide à la
décision à destination des porteurs de projets chaleur renouvelable, privilégiant la sobriété, la
mutualisation des moyens de production et la mobilisation de certaines EnR&amp;R.
Ainsi, le porteur devra démontrer que les points suivants auront été pris en compte au préalable :
• Réduction du besoin : réflexion et mise en œuvre de mesures de sobriété et efficacité
énergétique sur les bâtiments ou les process avant dimensionnement de la chaufferie biomasse ;
• Mutualisation des besoins : raccordement à un réseau de chaleur vertueux existant quand cela
est possible ou étude du potentiel de création d’un réseau de chaleur afin de mutualiser l’outil
de production de chaleur renouvelable sur plusieurs bâtiments ;
• Récupération de chaleur fatale : étude des sources de chaleur fatale disponibles localement et
de leurs adéquations avec les besoins ;
• Considération des autres ENR disponibles localement : étude du potentiel géothermique et
solaire thermique et de leur adéquation avec les besoins (seul ou en complément de la biomasse).</t>
        </r>
      </text>
    </comment>
    <comment ref="I128" authorId="0" shapeId="0">
      <text>
        <r>
          <rPr>
            <sz val="8"/>
            <color indexed="81"/>
            <rFont val="Tahoma"/>
            <family val="2"/>
          </rPr>
          <t>Le dimensionnement de l’installation biomasse devra permettre d’obtenir un taux de couverture optimisé tout en garantissant un régime de fonctionnement élevé à la chaudière. Il est impératif d’éviter un fonctionnement à faible charge, ainsi que des phases de démarrage et d’arrêt de la chaudière fréquentes, phases où les performances au niveau énergétique et qualité de l’air sont dégradées. Afin d’assurer un
dimensionnement correct des installations, la chaufferie biomasse devra présenter : 
- Un ratio nombre d’heure de fonctionnement à puissance nominale |Production Biomasse en MWh/an) / (Puissance Biomasse en MW)]&gt; 1 200 heures (ratio &gt; 2 000 heures conseillé) ;
- Ou une cascade de chaudières biomasse permettant qu’au moins l’un des générateurs ait un ratio nombre d’heure de fonctionnement à puissance nominale &gt; 1 200 heures ;
- Ou si un seul générateur, recourir à un combustible de type granulé (adapté notamment pour les générateurs de petite puissance (&lt; 100kW notamment et couvrant 100% des besoins de chaleur)) et équiper la chaudière d’un stockage (type ballon tampon) afin de limiter le nombre de cycle de la chaudière</t>
        </r>
        <r>
          <rPr>
            <sz val="9"/>
            <color indexed="81"/>
            <rFont val="Tahoma"/>
            <family val="2"/>
          </rPr>
          <t xml:space="preserve">
</t>
        </r>
      </text>
    </comment>
    <comment ref="J131" authorId="0" shapeId="0">
      <text>
        <r>
          <rPr>
            <sz val="9"/>
            <color indexed="81"/>
            <rFont val="Tahoma"/>
            <family val="2"/>
          </rPr>
          <t xml:space="preserve">Le Fonds Chaleur porte sur les installations de production de chaleur à partir de biomasse en substitution
à des énergies fossiles dont le rendement thermique à puissance nominale doit être supérieur à 85%
</t>
        </r>
      </text>
    </comment>
    <comment ref="J132" authorId="0" shapeId="0">
      <text>
        <r>
          <rPr>
            <sz val="9"/>
            <color indexed="81"/>
            <rFont val="Tahoma"/>
            <family val="2"/>
          </rPr>
          <t xml:space="preserve">Le Fonds Chaleur porte sur les installations de production de chaleur à partir de biomasse en substitution
à des énergies fossiles dont le rendement thermique à puissance nominale doit être supérieur à 85%
</t>
        </r>
      </text>
    </comment>
    <comment ref="B141" authorId="2" shapeId="0">
      <text>
        <r>
          <rPr>
            <b/>
            <sz val="9"/>
            <color indexed="81"/>
            <rFont val="Tahoma"/>
            <family val="2"/>
          </rPr>
          <t xml:space="preserve">Dans le dispositif d'aide de l'ADEME sur le fond chaleur, les chaufferies collectives et industrielles sont soumises à des exigences poussées en termes d’émissions atmosphériques qui restent valables également pour les petites puissances (&lt;1MW) ; en AURA, les seuils sont plus stricts que la règlementation nationale avec une limite à 45mg/Nm3 à 6% d'O2 ramenée à 30 en zone PPA. </t>
        </r>
      </text>
    </comment>
    <comment ref="B142" authorId="0" shapeId="0">
      <text>
        <r>
          <rPr>
            <b/>
            <sz val="9"/>
            <color indexed="81"/>
            <rFont val="Tahoma"/>
            <family val="2"/>
          </rPr>
          <t xml:space="preserve">FC 2024 : 
</t>
        </r>
        <r>
          <rPr>
            <sz val="9"/>
            <color indexed="81"/>
            <rFont val="Tahoma"/>
            <family val="2"/>
          </rPr>
          <t xml:space="preserve">
</t>
        </r>
        <r>
          <rPr>
            <b/>
            <sz val="9"/>
            <color indexed="81"/>
            <rFont val="Tahoma"/>
            <family val="2"/>
          </rPr>
          <t>Pour les chaufferies dont la puissance biomasse (somme des puissances des générateurs biomasse) est inférieure ou égale à 500 kW :</t>
        </r>
        <r>
          <rPr>
            <sz val="9"/>
            <color indexed="81"/>
            <rFont val="Tahoma"/>
            <family val="2"/>
          </rPr>
          <t xml:space="preserve">
Pour ces installations de petites puissances, en l’absence de contraintes réglementaires nationales et/ou locales plus contraignantes, le matériel retenu devra être conforme au RÈGLEMENT (UE) 2015/1189 portant application de la directive 2009/125/CE en ce qui concerne les exigences d'écoconception applicables aux chaudières à combustible solide.
Pour les chaufferies (hors granulés) d'une puissance biomasse totale installée comprise entre 150kW et 500 kW, il est fortement recommandé pour 2024 et obligatoire à compter de 2025, d’installer à minima un filtre cyclonique (hors turbulateur). Les autres systèmes de filtration comme les filtres à manches (FAM) ou électrofiltres10 (ESP) sont à privilégier si cela est techniquement et économiquement possible.
Les générateurs d’air chaud direct devront respecter des valeurs limites d’émissions de 50 mg/Nm3 pour les poussières, de 500 mg/Nm3 pour les NOx, de 500 mg/Nm3 pour le CO et de 200mg/Nm3 pour le SO2 à teneur en O2 réelle. Ces performances seront à démontrer par la fourniture de PV d’essais en laboratoire.
</t>
        </r>
        <r>
          <rPr>
            <b/>
            <sz val="9"/>
            <color indexed="81"/>
            <rFont val="Tahoma"/>
            <family val="2"/>
          </rPr>
          <t>Pour les chaufferies dont la puissance biomasse (somme des puissances des générateurs biomasse) est supérieure à 500 kW et inférieure à 1 MW :</t>
        </r>
        <r>
          <rPr>
            <sz val="9"/>
            <color indexed="81"/>
            <rFont val="Tahoma"/>
            <family val="2"/>
          </rPr>
          <t xml:space="preserve">
En l’absence de contraintes réglementaires nationales et/ou locales plus contraignantes, le projet devra respecter les valeurs limites d’émissions suivantes à 6% d’O2:
50 mg/Nm3 pour les poussières, de 500 mg/Nm3 pour les NOx, 500 mg/Nm3 pour le CO et 200 mg/NM3 pour le SO2
Les générateurs d’air chaud direct devront respecter ces mêmes valeurs limites d’émissions mais à teneur en O2 réelle. Un rapport de mesure des émissions réalisé par un organisme indépendant selon la méthode normalisée et démontrant la conformité de l’installation sera à fournir après la mise en service de l’installation.
</t>
        </r>
        <r>
          <rPr>
            <b/>
            <sz val="9"/>
            <color indexed="81"/>
            <rFont val="Tahoma"/>
            <family val="2"/>
          </rPr>
          <t>Pour les chaufferies dont la puissance biomasse (somme des puissances des générateurs biomasse) est supérieure ou égale à 1 MW :</t>
        </r>
        <r>
          <rPr>
            <sz val="9"/>
            <color indexed="81"/>
            <rFont val="Tahoma"/>
            <family val="2"/>
          </rPr>
          <t xml:space="preserve">
Le projet doit respecter les contraintes réglementaires nationales et/ou locales.
Pour les poussières, le recours à des systèmes performants de dépoussiérage des fumées doit permettre de respecter les contraintes réglementaires nationales et/ou locales actuelles et à venir, avec des niveaux de performance pour les poussières généralement compris entre 10 et 30 mg/Nm3 à 6% O2.
 </t>
        </r>
      </text>
    </comment>
    <comment ref="B146" authorId="0" shapeId="0">
      <text>
        <r>
          <rPr>
            <sz val="9"/>
            <color indexed="81"/>
            <rFont val="Tahoma"/>
            <family val="2"/>
          </rPr>
          <t xml:space="preserve">De plus, afin de garantir une dispersion suffisante des polluants et de limiter l’impact sur les riverains, il est fortement recommandé pour 2024 et obligatoire à compter de 2025 de respecter des hauteurs de cheminées minimales (par rapport au sol), (pour les chaufferies &lt; 500 kW, uniquement dans les zones couvertes par un PPA). Les conduits de cheminée étant individuels par générateur, ces hauteurs sont à appliquer par générateur.
</t>
        </r>
      </text>
    </comment>
    <comment ref="H150" authorId="3" shapeId="0">
      <text>
        <r>
          <rPr>
            <b/>
            <sz val="9"/>
            <color indexed="81"/>
            <rFont val="Tahoma"/>
            <family val="2"/>
          </rPr>
          <t>Ne s'applique pas aux puissances inférieur à 70kw, OU aux puissances &lt;500kw hors PPA</t>
        </r>
      </text>
    </comment>
    <comment ref="I150" authorId="4"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N/A (non applicable) quand installation &lt;500kW hors PPA OU PPA dont plus gros générateur est &lt;70kW. ICPE pour installations &gt;1000kW. Dans les autres cas, calculs selon le tableau dans l'onglet "valeurs de référence".</t>
        </r>
      </text>
    </comment>
    <comment ref="B158" authorId="1" shapeId="0">
      <text>
        <r>
          <rPr>
            <b/>
            <sz val="9"/>
            <color indexed="81"/>
            <rFont val="Tahoma"/>
            <family val="2"/>
          </rPr>
          <t>CO2 évité (tonnes) :
réf. Combustion (base carbone ADEME) 
GN : 0,201tCO2/MWh PCI
Fioul : 0,272tCO2/MWh PCI
Charbon : 0,345tCO2/MWh PCI
réf. mix électrique (base carbone ADEME) 
Electrique : 0,039tCO2/MWh</t>
        </r>
      </text>
    </comment>
    <comment ref="G159" authorId="0" shapeId="0">
      <text>
        <r>
          <rPr>
            <b/>
            <sz val="9"/>
            <color indexed="81"/>
            <rFont val="Tahoma"/>
            <family val="2"/>
          </rPr>
          <t>Prix indicatif utilisé dans le calcul de la solution de référence fossile</t>
        </r>
      </text>
    </comment>
    <comment ref="B160" authorId="2" shapeId="0">
      <text>
        <r>
          <rPr>
            <sz val="9"/>
            <color indexed="81"/>
            <rFont val="Marianne Light"/>
            <family val="3"/>
          </rPr>
          <t>HTR = Hors TVA récupérable auprès du Trésor Public ou du Fonds de compensation de la TVA.</t>
        </r>
      </text>
    </comment>
    <comment ref="G160" authorId="0" shapeId="0">
      <text>
        <r>
          <rPr>
            <b/>
            <sz val="9"/>
            <color indexed="81"/>
            <rFont val="Tahoma"/>
            <family val="2"/>
          </rPr>
          <t>Attention ratios non compatibles avec la crise 2022-2023</t>
        </r>
      </text>
    </comment>
    <comment ref="M160" authorId="2" shapeId="0">
      <text>
        <r>
          <rPr>
            <b/>
            <sz val="9"/>
            <color indexed="81"/>
            <rFont val="Tahoma"/>
            <family val="2"/>
          </rPr>
          <t>Garder uniquement les estimations si vous n'avez aucune information pour remplir les charges</t>
        </r>
      </text>
    </comment>
    <comment ref="G161" authorId="2" shapeId="0">
      <text>
        <r>
          <rPr>
            <b/>
            <sz val="9"/>
            <color indexed="81"/>
            <rFont val="Tahoma"/>
            <family val="2"/>
          </rPr>
          <t>Génie civil</t>
        </r>
      </text>
    </comment>
    <comment ref="H161" authorId="2" shapeId="0">
      <text>
        <r>
          <rPr>
            <sz val="9"/>
            <color indexed="81"/>
            <rFont val="Marianne Light"/>
            <family val="3"/>
          </rPr>
          <t>coût de la fourniture du (des) combustible(s)</t>
        </r>
        <r>
          <rPr>
            <sz val="9"/>
            <color indexed="81"/>
            <rFont val="Tahoma"/>
            <family val="2"/>
          </rPr>
          <t xml:space="preserve">
</t>
        </r>
      </text>
    </comment>
    <comment ref="M161" authorId="2" shapeId="0">
      <text>
        <r>
          <rPr>
            <b/>
            <sz val="9"/>
            <color indexed="81"/>
            <rFont val="Tahoma"/>
            <family val="2"/>
          </rPr>
          <t>Est calculé quand  l'approvisionnement est complété.</t>
        </r>
      </text>
    </comment>
    <comment ref="G162" authorId="3" shapeId="0">
      <text>
        <r>
          <rPr>
            <sz val="9"/>
            <color indexed="81"/>
            <rFont val="Tahoma"/>
            <family val="2"/>
          </rPr>
          <t>Process bois</t>
        </r>
      </text>
    </comment>
    <comment ref="H162" authorId="2" shapeId="0">
      <text>
        <r>
          <rPr>
            <sz val="9"/>
            <color indexed="81"/>
            <rFont val="Marianne Light"/>
            <family val="3"/>
          </rPr>
          <t>coût de l’électricité utilisée mécaniquement pour assurer le fonctionnement des installations primaires</t>
        </r>
      </text>
    </comment>
    <comment ref="H163" authorId="2" shapeId="0">
      <text>
        <r>
          <rPr>
            <sz val="9"/>
            <color indexed="81"/>
            <rFont val="Marianne Light"/>
            <family val="3"/>
          </rPr>
          <t>coût des prestations de conduite, de l’entretien, montant des redevances et frais divers</t>
        </r>
      </text>
    </comment>
    <comment ref="H164" authorId="2" shapeId="0">
      <text>
        <r>
          <rPr>
            <sz val="9"/>
            <color indexed="81"/>
            <rFont val="Marianne Light"/>
            <family val="3"/>
          </rPr>
          <t>coût gros entretien, renouvellement</t>
        </r>
      </text>
    </comment>
    <comment ref="G166" authorId="2" shapeId="0">
      <text>
        <r>
          <rPr>
            <b/>
            <sz val="9"/>
            <color indexed="81"/>
            <rFont val="Tahoma"/>
            <family val="2"/>
          </rPr>
          <t>Autres coûts</t>
        </r>
      </text>
    </comment>
    <comment ref="F182" authorId="5"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taux doublé si &gt;12GWh/an</t>
        </r>
      </text>
    </comment>
    <comment ref="B199" authorId="2" shapeId="0">
      <text>
        <r>
          <rPr>
            <b/>
            <sz val="9"/>
            <color indexed="81"/>
            <rFont val="Tahoma"/>
            <family val="2"/>
          </rPr>
          <t>PLAQUETTES FORESTIÈRES</t>
        </r>
      </text>
    </comment>
    <comment ref="B200" authorId="2" shapeId="0">
      <text>
        <r>
          <rPr>
            <b/>
            <sz val="9"/>
            <color indexed="81"/>
            <rFont val="Tahoma"/>
            <family val="2"/>
          </rPr>
          <t>Plaquettes Bocagères ou agroforestières</t>
        </r>
      </text>
    </comment>
    <comment ref="B201" authorId="3" shapeId="0">
      <text>
        <r>
          <rPr>
            <sz val="9"/>
            <color indexed="81"/>
            <rFont val="Tahoma"/>
            <family val="2"/>
          </rPr>
          <t xml:space="preserve">Plaquettes paysagères ligneuses </t>
        </r>
      </text>
    </comment>
    <comment ref="B202" authorId="2" shapeId="0">
      <text>
        <r>
          <rPr>
            <b/>
            <sz val="9"/>
            <color indexed="81"/>
            <rFont val="Tahoma"/>
            <family val="2"/>
          </rPr>
          <t>CONNEXES ET SOUS-PRODUITS DE L’INDUSTRIE
DE PREMIÈRE TRANSFORMATION DU BOIS</t>
        </r>
      </text>
    </comment>
    <comment ref="B203" authorId="2" shapeId="0">
      <text>
        <r>
          <rPr>
            <b/>
            <sz val="9"/>
            <color indexed="81"/>
            <rFont val="Tahoma"/>
            <family val="2"/>
          </rPr>
          <t>BOIS FIN DE VIE ET BOIS DÉCHETS</t>
        </r>
      </text>
    </comment>
    <comment ref="B204" authorId="2" shapeId="0">
      <text>
        <r>
          <rPr>
            <b/>
            <sz val="9"/>
            <color indexed="81"/>
            <rFont val="Tahoma"/>
            <family val="2"/>
          </rPr>
          <t>GRANULÉS</t>
        </r>
      </text>
    </comment>
    <comment ref="D204" authorId="0" shapeId="0">
      <text>
        <r>
          <rPr>
            <sz val="9"/>
            <color indexed="81"/>
            <rFont val="Tahoma"/>
            <family val="2"/>
          </rPr>
          <t>L’ADEME rappelle que la classe de granulé A1 à base de résineux est en particulier adaptée aux poêles domestiques, que la classe A2 à base de résineux et/ou feuillus est adapté pour les chaudières de petite puissance et que les classes B, I1, I2, I3 sont destinées aux chaufferies industrielles.
Dans le cas de difficultés à atteindre le taux minimum de bois ou de granulé certifié exigé, il est possible de demander un délai de 3 ans pour atteindre ce seuil progressivement : le candidat devra préciser ces difficultés dans le plan d'approvisionnement du dossier de candidature et les moyens mis en œuvre pour développer la certification des approvisionnements.
La part d’approvisionnement certifié FSC/PEFC doit figurer dans les lettres d’engagement des fournisseurs.</t>
        </r>
      </text>
    </comment>
    <comment ref="B236" authorId="3" shapeId="0">
      <text>
        <r>
          <rPr>
            <sz val="9"/>
            <color indexed="81"/>
            <rFont val="Tahoma"/>
            <family val="2"/>
          </rPr>
          <t>Calculé sur la base d'un logement type (70m², DJU 2500) consommant 12 MWh/an</t>
        </r>
      </text>
    </comment>
    <comment ref="B265" authorId="2" shapeId="0">
      <text>
        <r>
          <rPr>
            <sz val="9"/>
            <color indexed="81"/>
            <rFont val="Marianne Light"/>
            <family val="3"/>
          </rPr>
          <t>Pour un projet bois CDENR, au moins un acteur RGE (ou équivalent en Bioénergie) devra intervenir sur le projet biomasse: 
- soit l'AMO
- soit le BE qui réalise l'ingénierie de conception, 
- soit le BE qui réalise l'ingénierie de réalisation, 
- soit l’installateur. 
Pour les équipements de moins de 70 kW, la qualification Qualibois de Qualit’EnR de l’installateur répond à ce critère.
La mention « Reconnu Garant de l’Environnement » (RGE) est un gage de qualité, il est souhaitable de s’adresser prioritairement aux entreprises qualifiées RGE ou équivalent.</t>
        </r>
        <r>
          <rPr>
            <b/>
            <sz val="9"/>
            <color indexed="81"/>
            <rFont val="Tahoma"/>
            <family val="2"/>
          </rPr>
          <t xml:space="preserve">
</t>
        </r>
      </text>
    </comment>
    <comment ref="B272" authorId="2" shapeId="0">
      <text>
        <r>
          <rPr>
            <sz val="9"/>
            <color indexed="81"/>
            <rFont val="Marianne Light"/>
            <family val="3"/>
          </rPr>
          <t>Le bénéficiaire a prévu de mettre en place une instrumentation destinée à assurer le suivi du fonctionnement et des performances des installations pendant toute la durée de leur exploitation. Il en assurera obligatoirement les frais d’entretien et s’assurera de la validité des données mesurées.
Cette instrumentation devra être suffisante pour permettre la mesure de la quantité de chaleur Enr&amp;R injecté dans le réseau/ à la quantité totale de chaleur injectée (Pour mémoire, outre le comptage de production, le comptage d’énergie à chaque point de livraison est obligatoire : article 86 de la loi 2010-790 du grenelle 2).
L’installation et l’exploitation du compteur devront respecter les modalités du cahier des charges de l’ADEME « Suivi à distance de la production d’énergie thermique ». Ce cahier des charges est disponible sur https://librairie.ademe.fr/energies-renouvelables-reseaux-et-stockage/4768-comptage-production-thermique-chaufferie-biomasse.html</t>
        </r>
        <r>
          <rPr>
            <sz val="9"/>
            <color indexed="81"/>
            <rFont val="Tahoma"/>
            <family val="2"/>
          </rPr>
          <t xml:space="preserve">
</t>
        </r>
      </text>
    </comment>
    <comment ref="B274" authorId="2" shapeId="0">
      <text>
        <r>
          <rPr>
            <b/>
            <sz val="9"/>
            <color indexed="81"/>
            <rFont val="Tahoma"/>
            <family val="2"/>
          </rPr>
          <t xml:space="preserve">Dans le dispositif d'aide de l'ADEME sur le fond chaleur, les chaufferies collectives et industrielles sont soumises à des exigences poussées en termes d’émissions atmosphériques qui restent valables également pour les petites puissances (&lt;1MW) ; en AURA, les seuils sont plus stricts que la règlementation nationale avec une limite à 45mg/Nm3 à 6% d'O2 ramenée à 30 en zone PPA. </t>
        </r>
      </text>
    </comment>
    <comment ref="B275" authorId="1" shapeId="0">
      <text>
        <r>
          <rPr>
            <b/>
            <sz val="9"/>
            <color indexed="81"/>
            <rFont val="Tahoma"/>
            <family val="2"/>
          </rPr>
          <t xml:space="preserve">Les générateurs d’air chaud direct devront respecter des valeurs limites d’émissions de 50 mg/Nm3 pour les poussières, de 500 mg/Nm3 pour les NOx et de 682 mg/Nm3 pour le CO et 200 mg/Nm3 pour le SO2 à teneur en O2 réelle. </t>
        </r>
      </text>
    </comment>
    <comment ref="B276" authorId="2" shapeId="0">
      <text>
        <r>
          <rPr>
            <b/>
            <sz val="9"/>
            <color indexed="81"/>
            <rFont val="Marianne Light"/>
            <family val="3"/>
          </rPr>
          <t>FC 2024 : 
Pour les chaufferies dont la puissance biomasse (somme des puissances des générateurs biomasse) est supérieure à 500 kW et inférieure à 1 MW :</t>
        </r>
        <r>
          <rPr>
            <sz val="9"/>
            <color indexed="81"/>
            <rFont val="Marianne Light"/>
            <family val="3"/>
          </rPr>
          <t xml:space="preserve">
En l’absence de contraintes réglementaires nationales et/ou locales plus contraignantes, le projet devra respecter les valeurs limites d’émissions suivantes à 6% d’O2:
50 mg/Nm3 pour les poussières, de 500 mg/Nm3 pour les NOx, 500 mg/Nm3 pour le CO et 200 mg/NM3 pour le SO2
Les générateurs d’air chaud direct devront respecter ces mêmes valeurs limites d’émissions mais à teneur en O2 réelle. Un rapport de mesure des émissions réalisé par un organisme indépendant selon la méthode normalisée et démontrant la conformité de l’installation sera à fournir après la mise en service de l’installation.
</t>
        </r>
        <r>
          <rPr>
            <b/>
            <sz val="9"/>
            <color indexed="81"/>
            <rFont val="Marianne Light"/>
            <family val="3"/>
          </rPr>
          <t>Pour les chaufferies dont la puissance biomasse (somme des puissances des générateurs biomasse) est inférieure ou égale à 500 kW :</t>
        </r>
        <r>
          <rPr>
            <sz val="9"/>
            <color indexed="81"/>
            <rFont val="Marianne Light"/>
            <family val="3"/>
          </rPr>
          <t xml:space="preserve">
Pour les installations de petites puissances, le matériel retenu devra être conforme au RÈGLEMENT (UE) 2015/1189 portant application de la directive 2009/125/CE en ce qui concerne les exigences d'écoconception applicables aux chaudières à combustible solide ET comporter filtre multi cyclone ou électrostatique (ou d’un filtre plus performant), sauf pour les chaudières inférieures à 150kW ou à granulés.
Les générateurs d’air chaud direct devront respecter des valeurs limites d’émissions de 50 mg/Nm3 pour les poussières, de 500 mg/Nm3 pour les NOx, de 500 mg/Nm3 pour le CO et de 200mg/Nm3 pour le SO2 à teneur en O2 réelle. Ces performances seront à démontrer par la fourniture de PV d’essais en laboratoire.
</t>
        </r>
        <r>
          <rPr>
            <b/>
            <sz val="9"/>
            <color indexed="81"/>
            <rFont val="Marianne Light"/>
            <family val="3"/>
          </rPr>
          <t>Pour les chaufferies dont la puissance biomasse (somme des puissances des générateurs biomasse) est supérieure ou égale à 1 MW :</t>
        </r>
        <r>
          <rPr>
            <sz val="9"/>
            <color indexed="81"/>
            <rFont val="Marianne Light"/>
            <family val="3"/>
          </rPr>
          <t xml:space="preserve">
Le projet doit respecter les contraintes réglementaires nationales et/ou locales.
Pour les poussières, le recours à des systèmes performants de dépoussiérage des fumées doit permettre de respecter les contraintes réglementaires nationales et/ou locales actuelles et à venir, avec des niveaux de performance pour les poussières généralement compris entre 10 et 30 mg/Nm3 à 6% O2.</t>
        </r>
      </text>
    </comment>
    <comment ref="B277" authorId="2" shapeId="0">
      <text>
        <r>
          <rPr>
            <b/>
            <sz val="9"/>
            <color indexed="81"/>
            <rFont val="Marianne Light"/>
            <family val="3"/>
          </rPr>
          <t>FC 2024 : 
Pour les chaufferies dont la puissance biomasse (somme des puissances des générateurs biomasse) est supérieure à 500 kW et inférieure à 1 MW :</t>
        </r>
        <r>
          <rPr>
            <sz val="9"/>
            <color indexed="81"/>
            <rFont val="Marianne Light"/>
            <family val="3"/>
          </rPr>
          <t xml:space="preserve">
En l’absence de contraintes réglementaires nationales et/ou locales plus contraignantes, le projet devra respecter les valeurs limites d’émissions suivantes à 6% d’O2:
50 mg/Nm3 pour les poussières, de 500 mg/Nm3 pour les NOx, 500 mg/Nm3 pour le CO et 200 mg/NM3 pour le SO2
Les générateurs d’air chaud direct devront respecter ces mêmes valeurs limites d’émissions mais à teneur en O2 réelle. Un rapport de mesure des émissions réalisé par un organisme indépendant selon la méthode normalisée et démontrant la conformité de l’installation sera à fournir après la mise en service de l’installation.
</t>
        </r>
        <r>
          <rPr>
            <b/>
            <sz val="9"/>
            <color indexed="81"/>
            <rFont val="Marianne Light"/>
            <family val="3"/>
          </rPr>
          <t>Pour les chaufferies dont la puissance biomasse (somme des puissances des générateurs biomasse) est inférieure ou égale à 500 kW :</t>
        </r>
        <r>
          <rPr>
            <sz val="9"/>
            <color indexed="81"/>
            <rFont val="Marianne Light"/>
            <family val="3"/>
          </rPr>
          <t xml:space="preserve">
Pour les installations de petites puissances, le matériel retenu devra être conforme au RÈGLEMENT (UE) 2015/1189 portant application de la directive 2009/125/CE en ce qui concerne les exigences d'écoconception applicables aux chaudières à combustible solide ET comporter filtre multi cyclone ou électrostatique (ou d’un filtre plus performant), sauf pour les chaudières inférieures à 150kW ou à granulés.
Les générateurs d’air chaud direct devront respecter des valeurs limites d’émissions de 50 mg/Nm3 pour les poussières, de 500 mg/Nm3 pour les NOx, de 500 mg/Nm3 pour le CO et de 200mg/Nm3 pour le SO2 à teneur en O2 réelle. Ces performances seront à démontrer par la fourniture de PV d’essais en laboratoire.
</t>
        </r>
        <r>
          <rPr>
            <b/>
            <sz val="9"/>
            <color indexed="81"/>
            <rFont val="Marianne Light"/>
            <family val="3"/>
          </rPr>
          <t>Pour les chaufferies dont la puissance biomasse (somme des puissances des générateurs biomasse) est supérieure ou égale à 1 MW :</t>
        </r>
        <r>
          <rPr>
            <sz val="9"/>
            <color indexed="81"/>
            <rFont val="Marianne Light"/>
            <family val="3"/>
          </rPr>
          <t xml:space="preserve">
Le projet doit respecter les contraintes réglementaires nationales et/ou locales.
Pour les poussières, le recours à des systèmes performants de dépoussiérage des fumées doit permettre de respecter les contraintes réglementaires nationales et/ou locales actuelles et à venir, avec des niveaux de performance pour les poussières généralement compris entre 10 et 30 mg/Nm3 à 6% O2.</t>
        </r>
      </text>
    </comment>
    <comment ref="B278" authorId="2" shapeId="0">
      <text>
        <r>
          <rPr>
            <b/>
            <sz val="9"/>
            <color indexed="81"/>
            <rFont val="Marianne Light"/>
            <family val="3"/>
          </rPr>
          <t>FC 2024 : 
Pour les chaufferies dont la puissance biomasse (somme des puissances des générateurs biomasse) est supérieure à 500 kW et inférieure à 1 MW :</t>
        </r>
        <r>
          <rPr>
            <sz val="9"/>
            <color indexed="81"/>
            <rFont val="Marianne Light"/>
            <family val="3"/>
          </rPr>
          <t xml:space="preserve">
En l’absence de contraintes réglementaires nationales et/ou locales plus contraignantes, le projet devra respecter les valeurs limites d’émissions suivantes à 6% d’O2:
50 mg/Nm3 pour les poussières, de 500 mg/Nm3 pour les NOx, 500 mg/Nm3 pour le CO et 200 mg/NM3 pour le SO2
Les générateurs d’air chaud direct devront respecter ces mêmes valeurs limites d’émissions mais à teneur en O2 réelle. Un rapport de mesure des émissions réalisé par un organisme indépendant selon la méthode normalisée et démontrant la conformité de l’installation sera à fournir après la mise en service de l’installation.
</t>
        </r>
        <r>
          <rPr>
            <b/>
            <sz val="9"/>
            <color indexed="81"/>
            <rFont val="Marianne Light"/>
            <family val="3"/>
          </rPr>
          <t>Pour les chaufferies dont la puissance biomasse (somme des puissances des générateurs biomasse) est inférieure ou égale à 500 kW :</t>
        </r>
        <r>
          <rPr>
            <sz val="9"/>
            <color indexed="81"/>
            <rFont val="Marianne Light"/>
            <family val="3"/>
          </rPr>
          <t xml:space="preserve">
Pour les installations de petites puissances, le matériel retenu devra être conforme au RÈGLEMENT (UE) 2015/1189 portant application de la directive 2009/125/CE en ce qui concerne les exigences d'écoconception applicables aux chaudières à combustible solide ET comporter filtre multi cyclone ou électrostatique (ou d’un filtre plus performant), sauf pour les chaudières inférieures à 150kW ou à granulés.
Les générateurs d’air chaud direct devront respecter des valeurs limites d’émissions de 50 mg/Nm3 pour les poussières, de 500 mg/Nm3 pour les NOx, de 500 mg/Nm3 pour le CO et de 200mg/Nm3 pour le SO2 à teneur en O2 réelle. Ces performances seront à démontrer par la fourniture de PV d’essais en laboratoire.
</t>
        </r>
        <r>
          <rPr>
            <b/>
            <sz val="9"/>
            <color indexed="81"/>
            <rFont val="Marianne Light"/>
            <family val="3"/>
          </rPr>
          <t>Pour les chaufferies dont la puissance biomasse (somme des puissances des générateurs biomasse) est supérieure ou égale à 1 MW :</t>
        </r>
        <r>
          <rPr>
            <sz val="9"/>
            <color indexed="81"/>
            <rFont val="Marianne Light"/>
            <family val="3"/>
          </rPr>
          <t xml:space="preserve">
Le projet doit respecter les contraintes réglementaires nationales et/ou locales.
Pour les poussières, le recours à des systèmes performants de dépoussiérage des fumées doit permettre de respecter les contraintes réglementaires nationales et/ou locales actuelles et à venir, avec des niveaux de performance pour les poussières généralement compris entre 10 et 30 mg/Nm3 à 6% O2.</t>
        </r>
      </text>
    </comment>
    <comment ref="B279" authorId="2" shapeId="0">
      <text>
        <r>
          <rPr>
            <b/>
            <sz val="9"/>
            <color indexed="81"/>
            <rFont val="Marianne Light"/>
            <family val="3"/>
          </rPr>
          <t>FC 2024 : 
Pour les chaufferies dont la puissance biomasse (somme des puissances des générateurs biomasse) est supérieure à 500 kW et inférieure à 1 MW :</t>
        </r>
        <r>
          <rPr>
            <sz val="9"/>
            <color indexed="81"/>
            <rFont val="Marianne Light"/>
            <family val="3"/>
          </rPr>
          <t xml:space="preserve">
En l’absence de contraintes réglementaires nationales et/ou locales plus contraignantes, le projet devra respecter les valeurs limites d’émissions suivantes à 6% d’O2:
50 mg/Nm3 pour les poussières, de 500 mg/Nm3 pour les NOx, 500 mg/Nm3 pour le CO et 200 mg/NM3 pour le SO2
Les générateurs d’air chaud direct devront respecter ces mêmes valeurs limites d’émissions mais à teneur en O2 réelle. Un rapport de mesure des émissions réalisé par un organisme indépendant selon la méthode normalisée et démontrant la conformité de l’installation sera à fournir après la mise en service de l’installation.
</t>
        </r>
        <r>
          <rPr>
            <b/>
            <sz val="9"/>
            <color indexed="81"/>
            <rFont val="Marianne Light"/>
            <family val="3"/>
          </rPr>
          <t>Pour les chaufferies dont la puissance biomasse (somme des puissances des générateurs biomasse) est inférieure ou égale à 500 kW :</t>
        </r>
        <r>
          <rPr>
            <sz val="9"/>
            <color indexed="81"/>
            <rFont val="Marianne Light"/>
            <family val="3"/>
          </rPr>
          <t xml:space="preserve">
Pour les installations de petites puissances, le matériel retenu devra être conforme au RÈGLEMENT (UE) 2015/1189 portant application de la directive 2009/125/CE en ce qui concerne les exigences d'écoconception applicables aux chaudières à combustible solide ET comporter filtre multi cyclone ou électrostatique (ou d’un filtre plus performant), sauf pour les chaudières inférieures à 150kW ou à granulés.
Les générateurs d’air chaud direct devront respecter des valeurs limites d’émissions de 50 mg/Nm3 pour les poussières, de 500 mg/Nm3 pour les NOx, de 500 mg/Nm3 pour le CO et de 200mg/Nm3 pour le SO2 à teneur en O2 réelle. Ces performances seront à démontrer par la fourniture de PV d’essais en laboratoire.
</t>
        </r>
        <r>
          <rPr>
            <b/>
            <sz val="9"/>
            <color indexed="81"/>
            <rFont val="Marianne Light"/>
            <family val="3"/>
          </rPr>
          <t>Pour les chaufferies dont la puissance biomasse (somme des puissances des générateurs biomasse) est supérieure ou égale à 1 MW :</t>
        </r>
        <r>
          <rPr>
            <sz val="9"/>
            <color indexed="81"/>
            <rFont val="Marianne Light"/>
            <family val="3"/>
          </rPr>
          <t xml:space="preserve">
Le projet doit respecter les contraintes réglementaires nationales et/ou locales.
Pour les poussières, le recours à des systèmes performants de dépoussiérage des fumées doit permettre de respecter les contraintes réglementaires nationales et/ou locales actuelles et à venir, avec des niveaux de performance pour les poussières généralement compris entre 10 et 30 mg/Nm3 à 6% O2.</t>
        </r>
      </text>
    </comment>
    <comment ref="B286" authorId="6"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Seulement pour la création?</t>
        </r>
      </text>
    </comment>
    <comment ref="B299" authorId="2" shapeId="0">
      <text>
        <r>
          <rPr>
            <sz val="14"/>
            <color indexed="81"/>
            <rFont val="Tahoma"/>
            <family val="2"/>
          </rPr>
          <t>Non compatible avec les aides CEE, hors CEE raccordement réseau et uniquement si la fiche dédiée est remplie</t>
        </r>
      </text>
    </comment>
    <comment ref="N308" authorId="1" shapeId="0">
      <text>
        <r>
          <rPr>
            <sz val="9"/>
            <color indexed="81"/>
            <rFont val="Tahoma"/>
            <family val="2"/>
          </rPr>
          <t xml:space="preserve">CO2 évité (tonnes) :
réf. Combustion (base carbone ADEME) 
GN : 0,201tCO2/MWh PCI
Fioul : 0,272tCO2/MWh PCI
Charbon : 0,345tCO2/MWh PCI
réf. mix électrique (base carbone ADEME) 
Electrique : 0,039tCO2/MWh
</t>
        </r>
      </text>
    </comment>
    <comment ref="N309" authorId="0" shapeId="0">
      <text>
        <r>
          <rPr>
            <b/>
            <sz val="9"/>
            <color indexed="81"/>
            <rFont val="Tahoma"/>
            <family val="2"/>
          </rPr>
          <t>Calculé pour une référence gaz. A écraser et corriger si besoin</t>
        </r>
      </text>
    </comment>
  </commentList>
</comments>
</file>

<file path=xl/comments2.xml><?xml version="1.0" encoding="utf-8"?>
<comments xmlns="http://schemas.openxmlformats.org/spreadsheetml/2006/main">
  <authors>
    <author>tc={F02AE32D-6DD8-4481-9C34-99BFA490D45E}</author>
    <author>tc={D4926B47-CCD2-4597-8DAD-0A7E1D206CBD}</author>
  </authors>
  <commentList>
    <comment ref="C29" authorId="0" shapeId="0">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Ligne à modifier lorsqu'on passera par cette fiche uniquement sans VT </t>
        </r>
      </text>
    </comment>
    <comment ref="B84"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On renvoie vers le VT Excel de plan d'approvisionnement ou la partie plan appro de cette fiche projet est suffisante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<sst xmlns="http://schemas.openxmlformats.org/spreadsheetml/2006/main" count="1144" uniqueCount="824">
  <si>
    <t>Utilisation du document</t>
  </si>
  <si>
    <t>Dans toutes les feuilles excel :</t>
  </si>
  <si>
    <t>Légende</t>
  </si>
  <si>
    <t>Liste déroulante</t>
  </si>
  <si>
    <t>Autoremplissage</t>
  </si>
  <si>
    <t>A remplir</t>
  </si>
  <si>
    <t>Si une alerte colorée s'affiche, ajoutez un commentaire à sa droite pour montrer qu'elle a bien été prise en compte.</t>
  </si>
  <si>
    <t>A REMPLIR</t>
  </si>
  <si>
    <r>
      <t>-</t>
    </r>
    <r>
      <rPr>
        <b/>
        <u/>
        <sz val="11"/>
        <color theme="1"/>
        <rFont val="Calibri"/>
        <family val="2"/>
        <scheme val="minor"/>
      </rPr>
      <t>Fiche projet biomasse</t>
    </r>
    <r>
      <rPr>
        <u/>
        <sz val="11"/>
        <color theme="1"/>
        <rFont val="Calibri"/>
        <family val="2"/>
        <scheme val="minor"/>
      </rPr>
      <t>:</t>
    </r>
  </si>
  <si>
    <t>Cette feuille utilise les feuilles "Simulation FC", "Aide ratios" et "Menus biomasse"</t>
  </si>
  <si>
    <r>
      <rPr>
        <i/>
        <u/>
        <sz val="9"/>
        <color theme="1"/>
        <rFont val="Calibri"/>
        <family val="2"/>
        <scheme val="minor"/>
      </rPr>
      <t xml:space="preserve">Simulation FC (masqué) </t>
    </r>
    <r>
      <rPr>
        <i/>
        <sz val="9"/>
        <color theme="1"/>
        <rFont val="Calibri"/>
        <family val="2"/>
        <scheme val="minor"/>
      </rPr>
      <t>: permet de calculer automatiquement la subvention d'une chaufferie dédiée</t>
    </r>
  </si>
  <si>
    <r>
      <rPr>
        <i/>
        <u/>
        <sz val="9"/>
        <color theme="1"/>
        <rFont val="Calibri"/>
        <family val="2"/>
        <scheme val="minor"/>
      </rPr>
      <t>Aide ratios (masqué)</t>
    </r>
    <r>
      <rPr>
        <i/>
        <sz val="9"/>
        <color theme="1"/>
        <rFont val="Calibri"/>
        <family val="2"/>
        <scheme val="minor"/>
      </rPr>
      <t xml:space="preserve"> : permet d'avoir des estimations des coûts et des charges annuelles</t>
    </r>
  </si>
  <si>
    <t>Ces deux feuilles se remplissent automatiquement lors de la saisie de la fiche projet, mais vous pouvez les utiliser pour faire des tests: il faudra alors modifier les cellules vertes; si ce n'est pas le cas, vous pouvez les masquer.</t>
  </si>
  <si>
    <r>
      <t xml:space="preserve">Pour un ajout de </t>
    </r>
    <r>
      <rPr>
        <b/>
        <u/>
        <sz val="8"/>
        <color theme="1"/>
        <rFont val="Calibri"/>
        <family val="2"/>
        <scheme val="minor"/>
      </rPr>
      <t>condenseur ou stockage thermique</t>
    </r>
    <r>
      <rPr>
        <b/>
        <sz val="8"/>
        <color theme="1"/>
        <rFont val="Calibri"/>
        <family val="2"/>
        <scheme val="minor"/>
      </rPr>
      <t xml:space="preserve"> sur installation existante: compléter les blocs 1 et 3 de l'onglet "Fiche projet biomasse" seulement</t>
    </r>
  </si>
  <si>
    <t>Pour remplir une nouvelle fiche, il suffit de faire une copie de ce document Excel.</t>
  </si>
  <si>
    <t xml:space="preserve">FICHE PROJET </t>
  </si>
  <si>
    <t>CHAUFFERIE BIOMASSE</t>
  </si>
  <si>
    <t>Dernière mise à jour</t>
  </si>
  <si>
    <t>Rajouter les logos de l'opérateur du CCR/du maître d'ouvrage</t>
  </si>
  <si>
    <t>Sommaire</t>
  </si>
  <si>
    <t>1 - Présentation du projet</t>
  </si>
  <si>
    <t>2 - Description du site et des besoins thermiques actuels et futurs</t>
  </si>
  <si>
    <t>3 - Caractéristiques techniques des installations aidées</t>
  </si>
  <si>
    <t>4 - Plan d’approvisionnement en combustible(s) biomasse</t>
  </si>
  <si>
    <t>5 - Récapitulatif des critères d’éligibilité</t>
  </si>
  <si>
    <t>6 - Plan de financement</t>
  </si>
  <si>
    <t>Nom du projet</t>
  </si>
  <si>
    <t>Lieu (commune)</t>
  </si>
  <si>
    <t>Rajouter des commentaires ici si besoin</t>
  </si>
  <si>
    <t>N° de référence du projet</t>
  </si>
  <si>
    <t>Code INSEE Commune</t>
  </si>
  <si>
    <t>Date de commande des travaux (devis, marché)</t>
  </si>
  <si>
    <t>Si marché public, quelle est date de l'acte d'engagement ?</t>
  </si>
  <si>
    <t xml:space="preserve">Durée estimée de l’opération </t>
  </si>
  <si>
    <t>Date de mise en service envisagée</t>
  </si>
  <si>
    <t>Date de dépôt de dossier</t>
  </si>
  <si>
    <t>Etude de faisabilité ou de conception réalisée par un BE qualifié</t>
  </si>
  <si>
    <t xml:space="preserve"> </t>
  </si>
  <si>
    <t>Opération dans le secteur concurrentiel ?</t>
  </si>
  <si>
    <t>Oui</t>
  </si>
  <si>
    <t>Grande</t>
  </si>
  <si>
    <t>Cible bénéficiaire</t>
  </si>
  <si>
    <t>Type de projet biomasse</t>
  </si>
  <si>
    <t>Y-a-il plusieurs chaudières biomasse?</t>
  </si>
  <si>
    <t>Adresse du(des) site(s)</t>
  </si>
  <si>
    <t>Coordonnées</t>
  </si>
  <si>
    <t>RGE</t>
  </si>
  <si>
    <t>Raison sociale ou Nom</t>
  </si>
  <si>
    <t>Adresse</t>
  </si>
  <si>
    <t>Référent</t>
  </si>
  <si>
    <t>Mail</t>
  </si>
  <si>
    <t>Téléphone</t>
  </si>
  <si>
    <t>Instructeur de cette fiche (1)</t>
  </si>
  <si>
    <t>Instructeur de cette fiche (2)</t>
  </si>
  <si>
    <t>Maîtrise d’ouvrage</t>
  </si>
  <si>
    <t>BE faisabilité</t>
  </si>
  <si>
    <t>BE Assistant maîtrise d'ouvrage</t>
  </si>
  <si>
    <t>BE Maître d'œuvre</t>
  </si>
  <si>
    <t>Installateur</t>
  </si>
  <si>
    <t>Présentation du porteur de projet et de ses motivations</t>
  </si>
  <si>
    <t>Descriptif sommaire du projet (incluant le périmètre de l'installation)</t>
  </si>
  <si>
    <t>Toute information complémentaire utile à la compréhension du projet (schéma, organigramme, démarches engagées par la collectivité)</t>
  </si>
  <si>
    <t>Schéma complémentaire</t>
  </si>
  <si>
    <t>Etat des lieux</t>
  </si>
  <si>
    <t>Zone climatique du projet</t>
  </si>
  <si>
    <t>H1c</t>
  </si>
  <si>
    <t>Zone climatique: se référer à la carte à droite -&gt;</t>
  </si>
  <si>
    <t>Altitude du projet</t>
  </si>
  <si>
    <t>&lt;400</t>
  </si>
  <si>
    <t>Nom du bâtiment</t>
  </si>
  <si>
    <t>Type de bâtiment</t>
  </si>
  <si>
    <t>Neuf / Existant/ Abandonné pour le nouveau projet</t>
  </si>
  <si>
    <t>Date de raccordement au réseau de chaleur (si réseau de chaleur)</t>
  </si>
  <si>
    <r>
      <t xml:space="preserve">Besoins de l'existant avant démarche d'économie d'énergie </t>
    </r>
    <r>
      <rPr>
        <b/>
        <sz val="13"/>
        <color rgb="FFFF0000"/>
        <rFont val="Calibri"/>
        <family val="2"/>
        <scheme val="minor"/>
      </rPr>
      <t>REMPLIR SI TRAVAUX PREVUS</t>
    </r>
  </si>
  <si>
    <t>TOTAL</t>
  </si>
  <si>
    <t>merci de pas remplir les cases rayées</t>
  </si>
  <si>
    <t>Surface chauffée</t>
  </si>
  <si>
    <t>m²</t>
  </si>
  <si>
    <t>Besoins utiles chaleur tous usages annuels</t>
  </si>
  <si>
    <t>MWh/an</t>
  </si>
  <si>
    <t>dont chauffage</t>
  </si>
  <si>
    <t>dont ECS</t>
  </si>
  <si>
    <t>dont process</t>
  </si>
  <si>
    <t>Avez-vous le DPE?</t>
  </si>
  <si>
    <r>
      <t xml:space="preserve">Puissance </t>
    </r>
    <r>
      <rPr>
        <b/>
        <sz val="11"/>
        <rFont val="Calibri"/>
        <family val="2"/>
        <scheme val="minor"/>
      </rPr>
      <t>thermique</t>
    </r>
    <r>
      <rPr>
        <sz val="11"/>
        <rFont val="Calibri"/>
        <family val="2"/>
        <scheme val="minor"/>
      </rPr>
      <t xml:space="preserve"> appelée</t>
    </r>
  </si>
  <si>
    <t>kW</t>
  </si>
  <si>
    <r>
      <t xml:space="preserve">Besoins de l'existant après démarche d'économie d'énergie ou besoins du neuf </t>
    </r>
    <r>
      <rPr>
        <b/>
        <sz val="13"/>
        <color rgb="FFFF0000"/>
        <rFont val="Calibri"/>
        <family val="2"/>
        <scheme val="minor"/>
      </rPr>
      <t>REMPLIR IMPERATIVEMENT</t>
    </r>
  </si>
  <si>
    <t>Seuil max d'efficacité énergétique recommandé (chauffage)</t>
  </si>
  <si>
    <t>Commentaire efficacité énergétique chauffage</t>
  </si>
  <si>
    <t>Soumis au décret énergie tertiaire ?</t>
  </si>
  <si>
    <r>
      <t>Si oui : présence d'un plan d'actions et travaux de rénovation énergétique</t>
    </r>
    <r>
      <rPr>
        <sz val="9"/>
        <color theme="1"/>
        <rFont val="Calibri"/>
        <family val="2"/>
        <scheme val="minor"/>
      </rPr>
      <t xml:space="preserve"> (mininum respect échéance 2030)</t>
    </r>
  </si>
  <si>
    <t>Remarques complémentaires en rapport avec les besoins thermiques</t>
  </si>
  <si>
    <t>Démarche EnRChoix</t>
  </si>
  <si>
    <t>1 - REDUIRE</t>
  </si>
  <si>
    <t>Sobriété énergétique : Limiter les consommations en changeant les comportements</t>
  </si>
  <si>
    <t>Efficacité énergétique :  Diminuer les consommations à service rendu équivalent</t>
  </si>
  <si>
    <t>Actions spécitifiques de sobriété été mises en œuvre ?</t>
  </si>
  <si>
    <t>Actions spécifiques de MDE mises en œuvre sur l'ECS ?</t>
  </si>
  <si>
    <t>Actions spécifiques de MDE mises en œuvre sur le process ?</t>
  </si>
  <si>
    <t>Rq éventuelle</t>
  </si>
  <si>
    <t>2 - MUTUALISER</t>
  </si>
  <si>
    <t>les besoins de production et de distribution de chaleur</t>
  </si>
  <si>
    <t>Se raccorder à un réseau de chaleur existant</t>
  </si>
  <si>
    <t>https://france-chaleur-urbaine.beta.gouv.fr/carte</t>
  </si>
  <si>
    <t>Sinon : Créer un nouveau réseau de chaleur</t>
  </si>
  <si>
    <t>https://cartagene.cerema.fr/portal/apps/experiencebuilder/experience/?id=d1e7a5b177d14c83b3be4f3be6af85cf</t>
  </si>
  <si>
    <t>Coller ici la capture d'écran de la localisation précise du projet sur la cartographie en ligne de enRezo</t>
  </si>
  <si>
    <t>Le raccordement avec un éventuel réseau existant afin de mutualiser les outils de production existants a-t-il été étudié ?</t>
  </si>
  <si>
    <t>Autre (modifier/saisir)</t>
  </si>
  <si>
    <t>La mutualisation de la chaufferie biomasse pour alimenter les besoins de bâtiments voisins au présent projet a-t-elle été étudiée ?</t>
  </si>
  <si>
    <t>Commentaires :</t>
  </si>
  <si>
    <t xml:space="preserve">Commentaires : </t>
  </si>
  <si>
    <t>3 - OPTIMISER ET PRIORISER</t>
  </si>
  <si>
    <t>les recours aux énergies de récupération et renouvelables</t>
  </si>
  <si>
    <t>Peut-on valoriser de la chaleur fatale pour ce projet ?</t>
  </si>
  <si>
    <t>Etude d'opportunité multi EnR faite ?</t>
  </si>
  <si>
    <t>Peut-on utiliser du solaire thermique sur ce projet</t>
  </si>
  <si>
    <t>Etude de projet solaire thermique faite ?</t>
  </si>
  <si>
    <t>Peut-on utiliser de la géothermie sur ce projet ?</t>
  </si>
  <si>
    <t>Etude de projet géothermie faite ?</t>
  </si>
  <si>
    <t>Caractéristiques de la solution biomasse</t>
  </si>
  <si>
    <t>Puissance thermique appelée</t>
  </si>
  <si>
    <t>Nombre de chaudières biomasse</t>
  </si>
  <si>
    <t xml:space="preserve">Puissance thermique nominale totale des installations biomasse </t>
  </si>
  <si>
    <t>Volume du ballon tampon éventuel</t>
  </si>
  <si>
    <t>litres</t>
  </si>
  <si>
    <t>Combustible de la chaudière principale</t>
  </si>
  <si>
    <t xml:space="preserve">Production sortie installation biomasse </t>
  </si>
  <si>
    <t>MWh PCI/an</t>
  </si>
  <si>
    <t xml:space="preserve">Taux de couverture des besoins thermiques par la biomasse </t>
  </si>
  <si>
    <t>%</t>
  </si>
  <si>
    <t>Nombres d'heures de fonctionnement à puissance nominale</t>
  </si>
  <si>
    <t>Rendement à puissance nominale</t>
  </si>
  <si>
    <t>Prix du combustible biomasse (entrée chaudière)</t>
  </si>
  <si>
    <t>€ MWh PCI HTR</t>
  </si>
  <si>
    <t>Nombre de chaudières biomasse?</t>
  </si>
  <si>
    <t>Puissance thermique nominale de la chaudière biomasse</t>
  </si>
  <si>
    <t>Production annuelle de la chaudière</t>
  </si>
  <si>
    <t>MWh PCI</t>
  </si>
  <si>
    <t>Système de récupération de chaleur sur les fumées ?</t>
  </si>
  <si>
    <r>
      <t xml:space="preserve">Gestion des cendres </t>
    </r>
    <r>
      <rPr>
        <sz val="6"/>
        <color theme="1"/>
        <rFont val="Calibri"/>
        <family val="2"/>
        <scheme val="minor"/>
      </rPr>
      <t>(séparation cendres sous foyer et multicyclone, type de collecte, épandage…)</t>
    </r>
  </si>
  <si>
    <t>Fluide de la chaudière biomasse</t>
  </si>
  <si>
    <t>Qualité de l'air</t>
  </si>
  <si>
    <t>Le projet est-il situé en zone PPA?</t>
  </si>
  <si>
    <t>Émission de poussières</t>
  </si>
  <si>
    <t xml:space="preserve"> mg/Nm3 à 6%O2</t>
  </si>
  <si>
    <t>Émission de NOx</t>
  </si>
  <si>
    <t>Émission de CO</t>
  </si>
  <si>
    <t>Émission de SO2</t>
  </si>
  <si>
    <t>Hauteur du plus haut obstacle à 45m à la ronde</t>
  </si>
  <si>
    <t>m</t>
  </si>
  <si>
    <t>Hauteur du plus haut obstacle à 65m à la ronde</t>
  </si>
  <si>
    <t>Hauteur du plus haut obstacle à 90m à la ronde</t>
  </si>
  <si>
    <t>Hauteur du plus haut obstacle à 110m à la ronde</t>
  </si>
  <si>
    <t>Hauteur de cheminée par rapport au sol</t>
  </si>
  <si>
    <t>Hauteur min recommandée</t>
  </si>
  <si>
    <t>Technologie du traitement de fumée poussières</t>
  </si>
  <si>
    <t>Caractéristiques de l’appoint</t>
  </si>
  <si>
    <t>Nombre de chaudières d'appoint ?</t>
  </si>
  <si>
    <t>Nature du combustible d'appoint</t>
  </si>
  <si>
    <t xml:space="preserve">Puissance thermique nominale de la chaudière d'appoint </t>
  </si>
  <si>
    <t>Consommation annuelle en énergie entrée chaudière</t>
  </si>
  <si>
    <r>
      <t>Tonnes de CO</t>
    </r>
    <r>
      <rPr>
        <vertAlign val="subscript"/>
        <sz val="11"/>
        <color theme="1"/>
        <rFont val="Calibri"/>
        <family val="2"/>
        <scheme val="minor"/>
      </rPr>
      <t>2</t>
    </r>
    <r>
      <rPr>
        <sz val="11"/>
        <color theme="1"/>
        <rFont val="Calibri"/>
        <family val="2"/>
        <scheme val="minor"/>
      </rPr>
      <t>/an produites</t>
    </r>
  </si>
  <si>
    <r>
      <t>teqCO</t>
    </r>
    <r>
      <rPr>
        <vertAlign val="subscript"/>
        <sz val="9"/>
        <color theme="1"/>
        <rFont val="Calibri"/>
        <family val="2"/>
        <scheme val="minor"/>
      </rPr>
      <t>2</t>
    </r>
  </si>
  <si>
    <t>Prix du combustible d’appoint (entrée chaudière)</t>
  </si>
  <si>
    <t>Coûts d’investissement (en € HTR)</t>
  </si>
  <si>
    <t>Ratios indicatifs</t>
  </si>
  <si>
    <t>Charges d’exploitation annuelle</t>
  </si>
  <si>
    <t>Estimations</t>
  </si>
  <si>
    <t>Bâtiment chaufferie et silo de stockage</t>
  </si>
  <si>
    <t>P1 € HTR</t>
  </si>
  <si>
    <t>Générateur de chaleur biomasse et système d'alimentation automatique</t>
  </si>
  <si>
    <t>P'1 € HTR</t>
  </si>
  <si>
    <t>Condenseur</t>
  </si>
  <si>
    <t>P2 (charges salariales comprises) € HTR</t>
  </si>
  <si>
    <t>Stockage thermique</t>
  </si>
  <si>
    <t>P3 € HTR</t>
  </si>
  <si>
    <t>Traitement des fumées</t>
  </si>
  <si>
    <t>Générateur d'appoint fossile (non éligible aux aides)</t>
  </si>
  <si>
    <t>Merci de renseigner les charges d'exploitation annuelles afin de permettre le calcul du plafond de l'encadrement européen des aides publiques (RGEC)</t>
  </si>
  <si>
    <t>Installation électrique et hydraulique associée au générateur</t>
  </si>
  <si>
    <t>Ingénierie production</t>
  </si>
  <si>
    <t>Réseau de chaleur: terrain</t>
  </si>
  <si>
    <t>Réseau de chaleur</t>
  </si>
  <si>
    <t>Réseau de chaleur: Génie civil</t>
  </si>
  <si>
    <t>Réseau de chaleur: Equipements de process</t>
  </si>
  <si>
    <t>Réseau de chaleur: Ingénierie</t>
  </si>
  <si>
    <t>[Autre]</t>
  </si>
  <si>
    <t xml:space="preserve">Approvisionnement </t>
  </si>
  <si>
    <t>Part %PCI</t>
  </si>
  <si>
    <t>Consommation biomasse</t>
  </si>
  <si>
    <t>Taux certification min requis (par combustible)</t>
  </si>
  <si>
    <t>Dont part effectivement certifiée (par combustible)</t>
  </si>
  <si>
    <t>Plus d'infos</t>
  </si>
  <si>
    <t>Part autoconsommation</t>
  </si>
  <si>
    <t>Régions d'origine plaquette forestière</t>
  </si>
  <si>
    <t xml:space="preserve">Auvergne - Rhône-Alpes </t>
  </si>
  <si>
    <t>Nouvelle-Aquitaine</t>
  </si>
  <si>
    <t>[Saisir Région 3]</t>
  </si>
  <si>
    <t>[Saisir Région 4]</t>
  </si>
  <si>
    <t>Régions d'origine granulé</t>
  </si>
  <si>
    <t>[Saisir Région 2]</t>
  </si>
  <si>
    <t>Il est indispensable de conclure des contrats long terme avec les fournisseurs de combustible pour se prémunir de la volatilité des prix et des problèmes de disponibilité de ressource.</t>
  </si>
  <si>
    <t>Le porteur de projet a-t'il fourni des lettres d'engagement de fournisseurs ?</t>
  </si>
  <si>
    <t>Régions d'origine autres combustibles</t>
  </si>
  <si>
    <t>Est-il prévu de contractualiser sur une durée supérieure à 1 an ?</t>
  </si>
  <si>
    <t>Bourgogne - Franche Comté</t>
  </si>
  <si>
    <t>Hors UE</t>
  </si>
  <si>
    <t>Total toutes origines</t>
  </si>
  <si>
    <t>Catégories pour l'approvisionnement externe (hors autoconsommation)</t>
  </si>
  <si>
    <t>Catégorie 1 - 2017-1A-PFA</t>
  </si>
  <si>
    <t>connexes</t>
  </si>
  <si>
    <t>Catégorie 1 - 2017-1B-PFA</t>
  </si>
  <si>
    <t>bois fin de vie</t>
  </si>
  <si>
    <t>Catégorie 1 - 2017-1C-PFA</t>
  </si>
  <si>
    <t>granulés</t>
  </si>
  <si>
    <t>Catégorie 2 -  2017-2-CIB</t>
  </si>
  <si>
    <t> </t>
  </si>
  <si>
    <t>Catégorie 3 -  2017-3-BFVBD</t>
  </si>
  <si>
    <t>Catégorie 4 - 2017-4-GR</t>
  </si>
  <si>
    <t>Total externe</t>
  </si>
  <si>
    <t>Total avec autoconsommation</t>
  </si>
  <si>
    <t>Commentaires</t>
  </si>
  <si>
    <t>Détailler l'approvisionnement prévu</t>
  </si>
  <si>
    <t>5 - Réseau de chaleur</t>
  </si>
  <si>
    <t>Création, extension ou pas de réseau de chaleur</t>
  </si>
  <si>
    <t>Création</t>
  </si>
  <si>
    <t>Typologie du réseau</t>
  </si>
  <si>
    <t>Plafond d'aide RGEC</t>
  </si>
  <si>
    <t>Article du RGEC</t>
  </si>
  <si>
    <t>Situation actuelle</t>
  </si>
  <si>
    <t>Situation future (actuel + projet FC)</t>
  </si>
  <si>
    <t>Projet Fonds Chaleur (et données extension RC)</t>
  </si>
  <si>
    <t>Type de fluide caloporteur</t>
  </si>
  <si>
    <t>Eau chaude</t>
  </si>
  <si>
    <t>Longueur de réseau de chaleur</t>
  </si>
  <si>
    <t>Longueur Basse Pression</t>
  </si>
  <si>
    <t>Longueur Haute Pression</t>
  </si>
  <si>
    <t>Tableau des diamètres nominaux en Basse Pression</t>
  </si>
  <si>
    <t>DN &lt;= 65</t>
  </si>
  <si>
    <t>65 &lt; DN &lt;= 125</t>
  </si>
  <si>
    <t>125 &lt; DN &lt;= 250</t>
  </si>
  <si>
    <t>250 &lt; DN &lt;= 400</t>
  </si>
  <si>
    <t>DN &gt; 400</t>
  </si>
  <si>
    <t>Total</t>
  </si>
  <si>
    <t>ml de tranchée (aller)</t>
  </si>
  <si>
    <t>Chaleur injectée sur le réseau</t>
  </si>
  <si>
    <t>Chaleur EnR&amp;R injectée sur le réseau</t>
  </si>
  <si>
    <t>Taux d'EnR&amp;R</t>
  </si>
  <si>
    <t>Chaleur vendue en sous-station</t>
  </si>
  <si>
    <t>Nombre de sous-station</t>
  </si>
  <si>
    <t>Puissance totale souscrite</t>
  </si>
  <si>
    <t>Nombre d'équivalent logement</t>
  </si>
  <si>
    <t>Rendement réseau de chaleur</t>
  </si>
  <si>
    <t>Prix moyen de la chaleur vendue à l'abonnée (en TTC) (€ / MWh)</t>
  </si>
  <si>
    <t>Date du schéma directeur</t>
  </si>
  <si>
    <t>Charges d’exploitation annuelles</t>
  </si>
  <si>
    <t>Dans les cas d'extension, l'ADEME attend des commentaires succincts sur la façon dont la répartition a été faite entre les valeurs relatives au réseau existant et celles, demandées ici, relatives à l'extension exclusivement</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</si>
  <si>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</si>
  <si>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</si>
  <si>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</si>
  <si>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</si>
  <si>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Recettes</t>
  </si>
  <si>
    <r>
      <t xml:space="preserve">Chiffre d'affaires </t>
    </r>
    <r>
      <rPr>
        <b/>
        <sz val="11"/>
        <rFont val="Calibri"/>
        <family val="2"/>
        <scheme val="minor"/>
      </rPr>
      <t>annuel</t>
    </r>
    <r>
      <rPr>
        <sz val="11"/>
        <rFont val="Calibri"/>
        <family val="2"/>
        <scheme val="minor"/>
      </rPr>
      <t xml:space="preserve"> (hors Droits de raccordement) € HTR</t>
    </r>
  </si>
  <si>
    <t>Droits de raccordement (valeur actualisée nette en année 1) € HTR</t>
  </si>
  <si>
    <t>6 - Récapitulatif des critères d’éligibilité</t>
  </si>
  <si>
    <t>Vérifié?</t>
  </si>
  <si>
    <t>Justificatif/ Valeur</t>
  </si>
  <si>
    <t>Commentaires et infos</t>
  </si>
  <si>
    <t>Critères généraux</t>
  </si>
  <si>
    <t>Le projet respecte toutes les lois et normes applicables?</t>
  </si>
  <si>
    <t>Le bénéficiaire a fait les démarches pour obtenir toutes les autorisations administratives nécessaires relatives à la conformité des installations ?</t>
  </si>
  <si>
    <t>Qualification RGE ou équivalent</t>
  </si>
  <si>
    <t xml:space="preserve">Performance énergétique des bâtiments </t>
  </si>
  <si>
    <t>Indiqué à titre informatif, pas d'impact sur l'éligibilité</t>
  </si>
  <si>
    <t xml:space="preserve">Caractéristiques des installations </t>
  </si>
  <si>
    <t>Rendement à puissance nominale de la production thermique</t>
  </si>
  <si>
    <t>Production sortie chaudière biomasse MWh/an</t>
  </si>
  <si>
    <t>Dimensionnement optimal en chaufferie (nb heure de fct à puissance nominale, ballon tampon ou cascade)</t>
  </si>
  <si>
    <t>Instrumentation de suivi prévue?</t>
  </si>
  <si>
    <t>Qualité de l’air</t>
  </si>
  <si>
    <t>Le projet est-il un générateur d'air chaud direct ?</t>
  </si>
  <si>
    <t>Les émissions de poussières respectent les critères ADEME</t>
  </si>
  <si>
    <t>NOx</t>
  </si>
  <si>
    <t>CO</t>
  </si>
  <si>
    <t>SO2</t>
  </si>
  <si>
    <t>Approvisionnement biomasse</t>
  </si>
  <si>
    <t>Critères concernant l'approvisionnement tous validés</t>
  </si>
  <si>
    <t>Existence d'un lieu de concertation continue avec les abonnés et les usagers du réseau ?</t>
  </si>
  <si>
    <t>Engagement à répercuter totalement l'impact positif de la subvention pour l'abonné</t>
  </si>
  <si>
    <t>Etude de faisabilité réseau ou schéma directeur conforme aux guides ADEME</t>
  </si>
  <si>
    <t>Densité supérieure à 1 MWh/ml si création d'un réseau avec moins de 6 GWh EnR&amp;R, densité supérieur à 1,5 MWh/ml autrement</t>
  </si>
  <si>
    <t>Taux EnR&amp;R supérieure à 65%</t>
  </si>
  <si>
    <t>Rendement réseau supérieur à 85%</t>
  </si>
  <si>
    <t>Bureau d'étude qualifié RGE ?</t>
  </si>
  <si>
    <t>Réponse à l’enquête de branche annuelle SNCU prévu ?</t>
  </si>
  <si>
    <t>Attestation France Chaleur urbaine complétée</t>
  </si>
  <si>
    <t>Si demande de CEE, remise de "l'Attestation déclaration incitations CEE" lors de l'instruction et actualisation auprès de l'ADEME après obtention</t>
  </si>
  <si>
    <t>7 - Plan de financement</t>
  </si>
  <si>
    <t>Origine</t>
  </si>
  <si>
    <t>Montant (€HT)</t>
  </si>
  <si>
    <t>Pourcentage</t>
  </si>
  <si>
    <t>Etapes du dossier</t>
  </si>
  <si>
    <t>Détails supplémentaires?</t>
  </si>
  <si>
    <t>Autofinancement</t>
  </si>
  <si>
    <t>En cours</t>
  </si>
  <si>
    <t>Aide forfaitaire ADEME</t>
  </si>
  <si>
    <t>Subventions publiques</t>
  </si>
  <si>
    <t>Aide production</t>
  </si>
  <si>
    <t xml:space="preserve"> +          Aide réseau</t>
  </si>
  <si>
    <t>Contrat ADEME</t>
  </si>
  <si>
    <t>Région</t>
  </si>
  <si>
    <t>Conseil départemental</t>
  </si>
  <si>
    <t>Fonds de concours</t>
  </si>
  <si>
    <t>Plafond d'aide publique respecté ?</t>
  </si>
  <si>
    <t>FEDER</t>
  </si>
  <si>
    <t>[autre à préciser]</t>
  </si>
  <si>
    <t>TOTAL investissement chaufferie</t>
  </si>
  <si>
    <t xml:space="preserve">A copier pour procès-verbal de comité d'engagement : </t>
  </si>
  <si>
    <t>Nom du Maitre d'ouvrage</t>
  </si>
  <si>
    <t>Commune</t>
  </si>
  <si>
    <t>Energie (biomasse, solaire, géothermie)</t>
  </si>
  <si>
    <t>Etude ou invest.</t>
  </si>
  <si>
    <t>Production EnR 
(MWh utile)</t>
  </si>
  <si>
    <t>Coût d'investissement</t>
  </si>
  <si>
    <t>Aide ADEME</t>
  </si>
  <si>
    <t>Autre aide</t>
  </si>
  <si>
    <r>
      <t xml:space="preserve">GES évitées (teqCO2) </t>
    </r>
    <r>
      <rPr>
        <sz val="9"/>
        <rFont val="Calibri"/>
        <family val="2"/>
        <scheme val="minor"/>
      </rPr>
      <t>(le ratio gaz passe à 0,201tCO2/MWh en 2024)</t>
    </r>
    <r>
      <rPr>
        <sz val="11"/>
        <rFont val="Calibri"/>
        <family val="2"/>
        <scheme val="minor"/>
      </rPr>
      <t xml:space="preserve">
</t>
    </r>
  </si>
  <si>
    <t>Biomasse : principale combustible (PF, granulés, connexes)</t>
  </si>
  <si>
    <t>Longueur réseau de chaleur créé</t>
  </si>
  <si>
    <t>Longueur réseau de chaleur étendu</t>
  </si>
  <si>
    <t>dont aide ADEME production</t>
  </si>
  <si>
    <t>dont aide ADEME réseau</t>
  </si>
  <si>
    <t>biomasse</t>
  </si>
  <si>
    <t>investissement</t>
  </si>
  <si>
    <t>Attention cette fiche n'est pas adaptée pour un projet de renouvellement de chaudière biomasse</t>
  </si>
  <si>
    <t>Maître d'ouvrage :</t>
  </si>
  <si>
    <t>Projet situé à</t>
  </si>
  <si>
    <t xml:space="preserve">chaudière(s) bois d'une puissance totale de </t>
  </si>
  <si>
    <t xml:space="preserve">MWh bois produits par an à partir de </t>
  </si>
  <si>
    <r>
      <t>tonnes équivalent CO</t>
    </r>
    <r>
      <rPr>
        <vertAlign val="subscript"/>
        <sz val="12"/>
        <color theme="3"/>
        <rFont val="Calibri"/>
        <family val="2"/>
        <scheme val="minor"/>
      </rPr>
      <t>2</t>
    </r>
    <r>
      <rPr>
        <sz val="12"/>
        <color theme="3"/>
        <rFont val="Calibri"/>
        <family val="2"/>
        <scheme val="minor"/>
      </rPr>
      <t xml:space="preserve"> évitées</t>
    </r>
  </si>
  <si>
    <t>d'aide ADEME</t>
  </si>
  <si>
    <t xml:space="preserve">pour </t>
  </si>
  <si>
    <t>d'investissement</t>
  </si>
  <si>
    <t>soit</t>
  </si>
  <si>
    <t>de subvention</t>
  </si>
  <si>
    <t>Critères d'éligibilités :</t>
  </si>
  <si>
    <t>Qualification RGE des acteurs</t>
  </si>
  <si>
    <t>Comptage prévu</t>
  </si>
  <si>
    <t>Approvisionnement éligible</t>
  </si>
  <si>
    <t>Rendement nominal chaudière &gt; 85%</t>
  </si>
  <si>
    <t>Dimensionnement en chaufferie</t>
  </si>
  <si>
    <t>Respect cumul d'aides publiques</t>
  </si>
  <si>
    <t>Rapports / documents à fournir lors de l'exécution du contrat de financement</t>
  </si>
  <si>
    <r>
      <rPr>
        <b/>
        <u/>
        <sz val="9"/>
        <color rgb="FF000000"/>
        <rFont val="Calibri"/>
        <family val="2"/>
        <scheme val="minor"/>
      </rPr>
      <t>Un rapport intermédiaire</t>
    </r>
    <r>
      <rPr>
        <sz val="9"/>
        <color rgb="FF000000"/>
        <rFont val="Calibri"/>
        <family val="2"/>
        <scheme val="minor"/>
      </rPr>
      <t>, à remettre, dans les 3 mois suivant la mise en service de chacun des sites comprenant :  </t>
    </r>
  </si>
  <si>
    <t>Pour les installations de biomasse :</t>
  </si>
  <si>
    <t>Le procès-verbal de réception définitive des travaux attestant le bon fonctionnement de l’installation ;  </t>
  </si>
  <si>
    <t>Des photos de l’installation réalisée que l'ADEME pourra réutiliser dans le respect des crédits photos indiqués sur les images transmises ;</t>
  </si>
  <si>
    <t>La fiche projet ou le volet technique contenant les caractéristiques techniques de l’installation actualisées</t>
  </si>
  <si>
    <t>L’ADEME pourra tenir compte d’aléas non imputables au bénéficiaire de l’aide dans la détermination de la date de démarrage du comptage de la chaleur. Le bénéficiaire de l’aide devra cependant alerter suffisamment en amont et préciser clairement les raisons.</t>
  </si>
  <si>
    <r>
      <rPr>
        <b/>
        <u/>
        <sz val="9"/>
        <color rgb="FF000000"/>
        <rFont val="Calibri"/>
        <family val="2"/>
        <scheme val="minor"/>
      </rPr>
      <t>Un rapport final pour chacune des installations</t>
    </r>
    <r>
      <rPr>
        <sz val="9"/>
        <color rgb="FF000000"/>
        <rFont val="Calibri"/>
        <family val="2"/>
        <scheme val="minor"/>
      </rPr>
      <t>, à remettre dans un délai maximum de 30 mois après la mise en service de l’installation et avant la date de fin de l’opération comprenant :</t>
    </r>
  </si>
  <si>
    <t>Le plan de financement définitif de l'opération</t>
  </si>
  <si>
    <t xml:space="preserve">Pour les installations biomasse : </t>
  </si>
  <si>
    <t>Le “Rapport final installation biomasse énergie”, sur la base du modèle Excel ADEME, il comprend :</t>
  </si>
  <si>
    <t>o    Un volet bilan sur les dépenses réelles de l’opération ;</t>
  </si>
  <si>
    <t>o    Les données de comptage : MWh EnR réellement produits sur une année complète de production ;</t>
  </si>
  <si>
    <t>o    Un volet sur les résultats d’exploitation (bilan énergie sur une année pleine de production, données techniques de fonctionnement, coûts d’exploitation)</t>
  </si>
  <si>
    <t>o    Un volet sur le plan d’approvisionnement (démontrant la conformité au plan d'approvisionnement initial et une synthèse des consommations biomasse de l'installation par famille de combustible utilisée).</t>
  </si>
  <si>
    <t>Dans le cas des serres maraichères, un compte rendu du suivi de l’expérimentation du CTIFL (Centre technique interprofessionnel des fruits et légumes) et du CDDM (Comité Départemental de Développement Maraîcher) et des évolutions (réalisées ou à venir) des pratiques au sein de l’exploitation (pratiques culturales, consignes de température, sobriété/efficacité énergétique…)</t>
  </si>
  <si>
    <t xml:space="preserve">Pour les réseaux de chaleur : </t>
  </si>
  <si>
    <t>Un bilan énergétique présentant les résultats réels consolidés sur une pleine année de production </t>
  </si>
  <si>
    <t>Une note sur l’impact de l’aide sur les abonnés, avec les modalités de répercussion de cet impact vers l’usager final. </t>
  </si>
  <si>
    <t>Le rapport annuel d’exploitation comprenant le compte rendu financier, le prix moyen facturé à l’abonné (R1+R2) en €/MWh ainsi qu’une ou plusieurs polices d’abonnement caractéristiques.  </t>
  </si>
  <si>
    <t>Les modifications techniques éventuelles apportées sur l’installation et la liste des problèmes techniques éventuels rencontrés depuis la mise en service de l'installation</t>
  </si>
  <si>
    <t>L’attestation d’engagement de réponse à l’enquête de branche annuelle SNCU sur les réseaux de chaleur : l’objectif étant un recensement systématique au niveau national. Cette attestation comprendra les coordonnées complètes du contact en charge de la réponse à l’enquête de branche</t>
  </si>
  <si>
    <r>
      <rPr>
        <b/>
        <u/>
        <sz val="9"/>
        <color rgb="FF000000"/>
        <rFont val="Calibri"/>
        <family val="2"/>
        <scheme val="minor"/>
      </rPr>
      <t>Le bilan annuel d'exploitation des installations</t>
    </r>
    <r>
      <rPr>
        <sz val="9"/>
        <color rgb="FF000000"/>
        <rFont val="Calibri"/>
        <family val="2"/>
        <scheme val="minor"/>
      </rPr>
      <t>, mis à disposition de l'ADEME, sur simple demande jusqu’à 3 ans après le versement du solde</t>
    </r>
  </si>
  <si>
    <t>Engagements spécifiques</t>
  </si>
  <si>
    <t>Les projets doivent respecter toutes les lois et normes applicables et le bénéficiaire doit obtenir toutes les autorisations administratives nécessaires relatives à la conformité des installations. </t>
  </si>
  <si>
    <t>Engagement sur la production thermique de l'installation</t>
  </si>
  <si>
    <t>Engagement système de comptage, suivi, reporting de la production EnR</t>
  </si>
  <si>
    <t>Le bénéficiaire s’engage à mettre en place une instrumentation sur chacune des installations pendant toute la durée de l’exploitation et à en assurer obligatoirement les frais d’entretien et la validité des données mesurées. Le comptage est un outil de pilotage à disposition du maitre-d ’ouvrage, lui permettant de réaliser le bilan énergétique, de calculer des indicateurs tel que le rendement de l’installation et ainsi de suivre et vérifier le bon fonctionnement de son installation.</t>
  </si>
  <si>
    <t xml:space="preserve">Le maître d'ouvrage est susceptible d’être contrôlé pour vérifier l’installation et l’exploitation correctes du compteur. </t>
  </si>
  <si>
    <t xml:space="preserve">Pour les projets biomasse </t>
  </si>
  <si>
    <t>Le maître d'ouvrage a à sa charge l’investissement et l’exploitation d’un compteur énergétique mesurant la production thermique de la chaudière biomasse. L’installation et l’exploitation du compteur doivent respecter le cahier des charges de l’ADEME « l’ADEME « Cahier des charges à destination du bénéficiaire de l’aide ADEME pour le comptage et la transmission des données », ainsi que les fiches techniques par type de fluide caloporteur auxquelles ce cahier des charges fait référence (disponible sur le site internet de l’ADEME) :</t>
  </si>
  <si>
    <t>https://librairie.ademe.fr/energies-renouvelables-reseaux-et-stockage/4768-comptage-production-thermique-chaufferie-biomasse.html</t>
  </si>
  <si>
    <t>Engagement sur la qualité de l'air</t>
  </si>
  <si>
    <t>Le porteur de projet s’engage à respecter toutes les contraintes réglementaires en vigueur (nationales et/ou locales).</t>
  </si>
  <si>
    <t xml:space="preserve">Pour les chaufferies dont la puissance biomasse (somme des puissances des générateurs biomasse) est supérieure à 500 kW : </t>
  </si>
  <si>
    <t>En l’absence de contraintes réglementaires nationales et/ou locales plus contraignantes, le projet devra respecter des valeurs limites d’émissions conforme à l’arrêté du 3 août 2018 relatif aux prescriptions générales applicables aux installations classées pour la protection de l'environnement soumises à déclaration au titre de la rubrique 2910, en respectant à minima les seuils suivants : 50 mg/Nm3 pour les poussières, de 500 mg/Nm3 pour les NOx de 500 mg/Nm3 pour le CO et 200 mg/Nm3 pour le SO2 à 6% d’O2 (à teneur réelle d’O2 pour les générateur d’aide chaud direct).</t>
  </si>
  <si>
    <t xml:space="preserve">Pour les chaufferies dont la puissance de l’installation biomasse est inférieure ou égale à 500 kW : </t>
  </si>
  <si>
    <t>L’installation devra être conforme au RÈGLEMENT (UE) 2015/1189 portant application de la directive 2009/125/CE en ce qui concerne les exigences d'écoconception applicables aux chaudières à combustible solide.</t>
  </si>
  <si>
    <t>Les générateurs d’air chaud direct devront respecter des valeurs limites d’émissions de 50 mg/Nm3 pour les poussières, de 500 mg/Nm3 pour les NOx et de 500 mg/Nm3 pour le CO et 200 mg/Nm3 pour le SO2 à teneur en O2 réelle.</t>
  </si>
  <si>
    <t>Engagement sur le plan d'approvisionnement biomasse</t>
  </si>
  <si>
    <t>Le maître d’ouvrage s’engage à respecter les plans d’approvisionnement indiqués dans les volets techniques des opérations pendant une durée de 10 (dix) ans.</t>
  </si>
  <si>
    <t>Afin de bien s’intégrer dans le contexte territorial, le maitre d’ouvrage prendra soin de respecter le plan d’approvisionnement. Ce dernier pourra éventuellement être ajusté dans le respect des modalités et seuils de tolérance suivants :
•	Augmentation de la part de plaquettes forestières et assimilées ;
•	Augmentation ou diminution des autres rubriques de combustibles déclarés à hauteur de 10 % de la quantité PCI totale du projet, sous condition de respecter le seuil minimum de plaquettes forestière et assimilés
•	Augmentation du prélèvement dans une région mentionnée au plan d’approvisionnement inférieure à 10 000 MWh ;
•	Le taux de bois issu de forêts (catégorie du référentiel 2017-1A-PFA) et de granulé (catégorie du référentiel 2017-4A-GR) ayant été déclaré certifié au sein du plan d’approvisionnement devra être respecté. Néanmoins, une marge de 10 % pourra être tolérée à condition que ce taux reste strictement supérieur aux exigences pour le bois issu de forêt ou à 20% pour le granulé de bois.
En dehors de ces seuils, toute modification du plan d’approvisionnement doit faire l’objet d’un avis positif de l’ADEME avant sa mise en œuvre et être dûment justifiée. Dans le cas contraire, le projet risque un retrait des aides. Selon la nature des modifications envisagées, l’ADEME est susceptible de solliciter l’avis des cellules biomasse des régions concernées.
Par ailleurs, il est rappelé que le recours au bois d’importation doit avoir fait l’objet d’une autorisation de l’ADEME et que celui-ci devra provenir à 100 % de forêts gérées durablement (PEFC, FSC ou équivalent).
Le maître d’ouvrage s’engage à mettre en œuvre les moyens permettant à l’ADEME de vérifier la répartition des combustibles utilisés et définie dans ce présent volet technique :
•	Le maître d’ouvrage encadrera, à travers les contrats passés avec ses fournisseurs, la qualité de l’information transmise le long de la chaîne d’approvisionnement. En particulier, il s’assurera que les libellés des biomasses renseignées sur les bons de livraison respectent les catégories et sous catégories des Référentiels de l’ADEME.
•	Des contrôles périodiques et aléatoires seront réalisés par des bureaux de contrôle indépendants missionnés par l’ADEME afin de vérifier la conformité au plan d’approvisionnement. Par conséquent, le bénéficiaire :
o	Autorisera l’ADEME ou le bureau de contrôle mandaté par l’ADEME à accéder d’une part à la chaufferie et ses périphériques et d’autres part aux documents nécessaires pour mener à bien ces contrôles (contrats d’approvisionnement, factures de combustible, bons de livraison, relevés de compteur, mesures de qualité des combustibles, etc).
o	Introduira dans ses contrats d’approvisionnement une clause énonçant que le fournisseur assure à son client le droit de faire réaliser, par un bureau de contrôle indépendant missionné par l’ADEME, un audit chez lui ou chez ses propres fournisseurs, visant à valider la nature de l’information transmise au maître d’ouvrage. Pour les approvisionnements d’origine sylvicole, le maître d’ouvrage se référera au document ADEME « Exigences applicables aux fournisseurs des installations subventionnées dans le cadre du Fonds Chaleur » en annexe 1 du présent volet technique.
Dans les cas où les contrôles mettraient en évidence un non-respect des engagements du maître d’ouvrage sur le plan d’approvisionnement décrit dans ce présent volet technique, l’ADEME accordera un délai de 6 mois au maître d’ouvrage pour une remise en conformité de son approvisionnement. A la fin de ce délai de 6 mois, le maître d’ouvrage devra fournir à l’ADEME pour validation un rapport d’audit attestant de la conformité de son approvisionnement. Cet audit sera réalisé par un bureau d’étude indépendant dont le choix sera validé par l’ADEME et sera à la charge financière du maître d’ouvrage. Dans le cas où ce second contrôle ne validerait pas la mise en conformité du plan d’approvisionnement, l’aide sera immédiatement suspendue et les aides déjà allouées pourront être restituées à l’ADEME conformément aux Règles Générales d’attribution des aides de l’ADEME.</t>
  </si>
  <si>
    <t>Engagement sur l'obtention de Certificats d'économie d'énergie (CEE)</t>
  </si>
  <si>
    <t>OPTION 1 (POUR PROJETS AYANT DEMANDE DES CEE) </t>
  </si>
  <si>
    <t>Le montant maximum de l’aide tient compte des montants de CEE déclarés lors du dépôt de la demande d’aide. </t>
  </si>
  <si>
    <t>Joindre la fiche « Attestation déclaration incitations CEE » qui fera partie des pièces nécessaires à l’instruction. </t>
  </si>
  <si>
    <t>Le Bénéficiaire s’engage à ne pas solliciter plus de CEE que le montant déclaré. Le montant de l'aide globale pourrait être revu pour les projets qui bénéficieraient réellement d’un montant de CEE supérieur au montant prévisionnel déclaré.</t>
  </si>
  <si>
    <t>La fiche « Attestation déclaration incitations CEE » devra être actualisée et fournie à l’ADEME par le porteur de projet après obtention des CEE en cours d’exécution du contrat. </t>
  </si>
  <si>
    <t>OPTION 2 (POUR PROJETS N’AYANT PAS DEMANDE DE CEE) </t>
  </si>
  <si>
    <t>Le Bénéficiaire s’engage à ne pas solliciter de CEE dans le cadre de ce projet. </t>
  </si>
  <si>
    <t>Engagement sur le bouquet énergétique et injection EnR&amp;R du réseau de chaleur</t>
  </si>
  <si>
    <r>
      <t xml:space="preserve">Pour un </t>
    </r>
    <r>
      <rPr>
        <u/>
        <sz val="9"/>
        <color rgb="FF000000"/>
        <rFont val="Calibri"/>
        <family val="2"/>
        <scheme val="minor"/>
      </rPr>
      <t>projet de création</t>
    </r>
    <r>
      <rPr>
        <sz val="9"/>
        <color rgb="FF000000"/>
        <rFont val="Calibri"/>
        <family val="2"/>
        <scheme val="minor"/>
      </rPr>
      <t xml:space="preserve"> : le réseau sera alimenté par au moins 65% d'EnR&amp;R. </t>
    </r>
  </si>
  <si>
    <r>
      <t xml:space="preserve">Pour un </t>
    </r>
    <r>
      <rPr>
        <u/>
        <sz val="9"/>
        <color rgb="FF000000"/>
        <rFont val="Calibri"/>
        <family val="2"/>
        <scheme val="minor"/>
      </rPr>
      <t>projet d’extension</t>
    </r>
    <r>
      <rPr>
        <sz val="9"/>
        <color rgb="FF000000"/>
        <rFont val="Calibri"/>
        <family val="2"/>
        <scheme val="minor"/>
      </rPr>
      <t xml:space="preserve"> : les besoins supplémentaires seront couverts au minimum à 65 % par une production supplémentaire d’EnR&amp;R et le réseau sera alimenté globalement, extension comprise au minimum par 55% EnR&amp;R. </t>
    </r>
  </si>
  <si>
    <t>Pour les projets de réseaux biomasse &gt; 1200 MWh, réseaux géothermiques &gt; 25 MWh, réseaux solaire &gt; 25m² de capteurs et les réseaux de chaleur fatale &gt; 1 GWh :</t>
  </si>
  <si>
    <t>Cette valeur constitue la référence pour le calcul du versement du solde de la convention. </t>
  </si>
  <si>
    <t>Le solde de l'aide relative aux réseaux de distribution de chaleur sera versé en fonction du nombre de MWh EnR&amp;R réellement injectés sur une période de 12 mois consécutifs (dans un délai de 30 mois après la réception de l'installation), par rapport à l'engagement initial : </t>
  </si>
  <si>
    <t>·         Si au moins 80% de l’engagement initial de MWh EnR&amp;R est atteint, le solde est versé en intégralité ; </t>
  </si>
  <si>
    <t>·         Si moins de 80% de l’engagement initial de MWh EnR&amp;R est atteint, aucun solde n’est versé. </t>
  </si>
  <si>
    <t>Engagement de réponse à l'enquête de branche annuelle SNCU sur les réseaux de chaleur</t>
  </si>
  <si>
    <t>Le bénéficiaire s’engage à répondre à l’enquête de branche annuelle SNCU dont l’objectif est un recensement systématique au niveau national des données afférentes aux réseaux de chaleur et de froid.
L'enquête annuelle sur les réseaux de chaleur et de froid est reconnue d’intérêt général et de qualité statistique. Elle est la seule enquête à laquelle les exploitants de réseaux de chaleur et de froid ont l'obligation légale de répondre.</t>
  </si>
  <si>
    <t>RATIOS TYPE - Coûts chaufferies biomasse</t>
  </si>
  <si>
    <t>Ratios moyens charges d'exploitation</t>
  </si>
  <si>
    <t>Données projet</t>
  </si>
  <si>
    <t>Type de projet</t>
  </si>
  <si>
    <t>Production biomasse (MWh/an)</t>
  </si>
  <si>
    <t>Puissance biomasse (kW)</t>
  </si>
  <si>
    <t>Nombre heures fonctionnement à puissance nominale</t>
  </si>
  <si>
    <t>Source : Etude best energies 2020 - ratios à remettre à jour régulièrement</t>
  </si>
  <si>
    <t>Ratio Type</t>
  </si>
  <si>
    <t>Ratio global exploitation 
(P'1 + P2 + P3)</t>
  </si>
  <si>
    <t>Part P'1</t>
  </si>
  <si>
    <t>Part P2</t>
  </si>
  <si>
    <t>Part P3</t>
  </si>
  <si>
    <t>Chaufferie + réseau de chaleur :</t>
  </si>
  <si>
    <t>données 2015: enlever?</t>
  </si>
  <si>
    <t xml:space="preserve">Chaufferie dédiée secteur collectif : </t>
  </si>
  <si>
    <t xml:space="preserve">Chaufferie dédiée secteur industriel : </t>
  </si>
  <si>
    <t>Coûts global annuel exploitation 
(P'1 + P2 + P3)</t>
  </si>
  <si>
    <t>Coûts P'1</t>
  </si>
  <si>
    <t>Coûts P2</t>
  </si>
  <si>
    <t>Coûts P3</t>
  </si>
  <si>
    <t>Coûts d'exploitation</t>
  </si>
  <si>
    <t>Prix du combustible</t>
  </si>
  <si>
    <t>Source : Etude ADEME 2022 - Enquête sur les prix des combustibles bois en 2022</t>
  </si>
  <si>
    <t>Combustibles projet</t>
  </si>
  <si>
    <t>Quantité (MWh PCI)</t>
  </si>
  <si>
    <t>Coût livré TTC (€/MWh PCI)</t>
  </si>
  <si>
    <t>P1 par type de combustible bois</t>
  </si>
  <si>
    <t>Catégorie 1 - 2017-1-PFA</t>
  </si>
  <si>
    <t xml:space="preserve">Coûts d'investissement </t>
  </si>
  <si>
    <t>Source : Etude ADEME Kalice 2015</t>
  </si>
  <si>
    <t>Investissement totale chaufferie biomasse</t>
  </si>
  <si>
    <t>Process bois</t>
  </si>
  <si>
    <t>Génie Civil (bâtiment)</t>
  </si>
  <si>
    <t>Autres coûts (Hydraulique, électricité et régulation en chaufferie)</t>
  </si>
  <si>
    <t>Etude / Ingénierie</t>
  </si>
  <si>
    <t>Générateur d'appoint</t>
  </si>
  <si>
    <t>Ingénierie</t>
  </si>
  <si>
    <t>Ratios type d'investissement [€/kW] =
avec P = puissance biomasse en kW</t>
  </si>
  <si>
    <t>-188,4*LN(P)+2288,4</t>
  </si>
  <si>
    <t>-39,74*LN(P)+612,1</t>
  </si>
  <si>
    <t>-87,56*LN(P)+1002,3</t>
  </si>
  <si>
    <t>-25,74*LN(P)+311,53</t>
  </si>
  <si>
    <t>Ratio type d'investissement du projet [€/kW] =</t>
  </si>
  <si>
    <t>Coûts d'investissement du projet [€] =</t>
  </si>
  <si>
    <t>Simulation Aide Fonds Chaleur forfaits biomasse</t>
  </si>
  <si>
    <t>Aide à la production</t>
  </si>
  <si>
    <t>Bois énergie</t>
  </si>
  <si>
    <t>Collectif/Industrie</t>
  </si>
  <si>
    <t>MWh</t>
  </si>
  <si>
    <t>A modifier selon l'évolution des conditions</t>
  </si>
  <si>
    <t>€/MWh</t>
  </si>
  <si>
    <t>Montant Aide ADEME</t>
  </si>
  <si>
    <t>Forfait d'aide ADEME €/MWh</t>
  </si>
  <si>
    <t> Bois énergie</t>
  </si>
  <si>
    <t>Collectif</t>
  </si>
  <si>
    <t>Industrie</t>
  </si>
  <si>
    <t>0 - 600</t>
  </si>
  <si>
    <t>601 - 3 000</t>
  </si>
  <si>
    <t>3 001 - 6 000</t>
  </si>
  <si>
    <t>Moyenne €/MWh</t>
  </si>
  <si>
    <t>6 001 - 12 000</t>
  </si>
  <si>
    <t>Aide réseau au forfait</t>
  </si>
  <si>
    <t>BP</t>
  </si>
  <si>
    <t>ml</t>
  </si>
  <si>
    <t>aide €/ml</t>
  </si>
  <si>
    <t>€</t>
  </si>
  <si>
    <t>&gt; 400</t>
  </si>
  <si>
    <t>250 &lt; DN &lt; 400</t>
  </si>
  <si>
    <t>125 &lt; DN &lt; 250</t>
  </si>
  <si>
    <t>65 &lt; DN &lt; 125</t>
  </si>
  <si>
    <t>&lt; 65</t>
  </si>
  <si>
    <t>HP</t>
  </si>
  <si>
    <t>Moyenne €/ml</t>
  </si>
  <si>
    <t>Aide forfaitaire totale</t>
  </si>
  <si>
    <t>BIOMASSE SANS RESEAU DE CHALEUR</t>
  </si>
  <si>
    <t>Mdp verrouillage :</t>
  </si>
  <si>
    <t>CCR</t>
  </si>
  <si>
    <t>Tous les menus sont modifiables</t>
  </si>
  <si>
    <t>DPE</t>
  </si>
  <si>
    <t>Oui/non</t>
  </si>
  <si>
    <t>Combustible</t>
  </si>
  <si>
    <t>Fluide</t>
  </si>
  <si>
    <t>Neuf/Existant</t>
  </si>
  <si>
    <t>Type de foyer</t>
  </si>
  <si>
    <t>Technologie_poussieres</t>
  </si>
  <si>
    <t>Technologie_NOX</t>
  </si>
  <si>
    <t>Type de fluide</t>
  </si>
  <si>
    <t>Type de maître d'ouvrage</t>
  </si>
  <si>
    <t>Type d'aide</t>
  </si>
  <si>
    <t>Nature du combustible</t>
  </si>
  <si>
    <t>Facteur de conversion</t>
  </si>
  <si>
    <t>Etapes_dossier</t>
  </si>
  <si>
    <t>Typologie de réseau</t>
  </si>
  <si>
    <t>Basé sur de la chaleur fatale</t>
  </si>
  <si>
    <t>Agricole</t>
  </si>
  <si>
    <r>
      <t xml:space="preserve">Vente de chaleur à au moins un abonné via </t>
    </r>
    <r>
      <rPr>
        <b/>
        <u/>
        <sz val="11"/>
        <color theme="3"/>
        <rFont val="Calibri"/>
        <family val="2"/>
        <scheme val="minor"/>
      </rPr>
      <t>plusieurs</t>
    </r>
    <r>
      <rPr>
        <sz val="11"/>
        <color theme="3"/>
        <rFont val="Calibri"/>
        <family val="2"/>
        <scheme val="minor"/>
      </rPr>
      <t xml:space="preserve"> sous-stations</t>
    </r>
  </si>
  <si>
    <t>Réseau technique basé sur de la chaleur fatale</t>
  </si>
  <si>
    <t>A</t>
  </si>
  <si>
    <t>Granulés</t>
  </si>
  <si>
    <t>AMO</t>
  </si>
  <si>
    <t>Neuf</t>
  </si>
  <si>
    <t>Plaquettes forestières (référentiel 2017 - 1A - PFA)</t>
  </si>
  <si>
    <t>Volcan</t>
  </si>
  <si>
    <t>Mécanique (multicyclone)</t>
  </si>
  <si>
    <t>Économiseur</t>
  </si>
  <si>
    <t>Air chaud</t>
  </si>
  <si>
    <t>Entreprise</t>
  </si>
  <si>
    <t>Collectif ou tertiaire</t>
  </si>
  <si>
    <t>Log. sociaux</t>
  </si>
  <si>
    <t>Gaz naturel</t>
  </si>
  <si>
    <r>
      <t>Vente de chaleur via une</t>
    </r>
    <r>
      <rPr>
        <b/>
        <sz val="11"/>
        <color theme="3"/>
        <rFont val="Calibri"/>
        <family val="2"/>
        <scheme val="minor"/>
      </rPr>
      <t xml:space="preserve"> </t>
    </r>
    <r>
      <rPr>
        <b/>
        <u/>
        <sz val="11"/>
        <color theme="3"/>
        <rFont val="Calibri"/>
        <family val="2"/>
        <scheme val="minor"/>
      </rPr>
      <t>seule</t>
    </r>
    <r>
      <rPr>
        <sz val="11"/>
        <color theme="3"/>
        <rFont val="Calibri"/>
        <family val="2"/>
        <scheme val="minor"/>
      </rPr>
      <t xml:space="preserve"> sous-station ou réseau technique</t>
    </r>
  </si>
  <si>
    <t>Réseau de distribution associé à une récupération de chaleur fatale</t>
  </si>
  <si>
    <t>B</t>
  </si>
  <si>
    <t>Non</t>
  </si>
  <si>
    <t>BE conception</t>
  </si>
  <si>
    <t>Eau surchauffée &gt; 105°c</t>
  </si>
  <si>
    <t>Existant</t>
  </si>
  <si>
    <t>Plaquettes Bocagères ou agroforestières (référentiel 20017 - 1B - PFA)</t>
  </si>
  <si>
    <t xml:space="preserve">Grille mobile </t>
  </si>
  <si>
    <t>Filtres (filtres à manche)</t>
  </si>
  <si>
    <t>Collectivité</t>
  </si>
  <si>
    <t>Entreprise ou industrie</t>
  </si>
  <si>
    <t>Copropriétés</t>
  </si>
  <si>
    <t>Charbon</t>
  </si>
  <si>
    <t>Fini</t>
  </si>
  <si>
    <t>Eau surchauffée</t>
  </si>
  <si>
    <t>Réseau chaleur urbain</t>
  </si>
  <si>
    <t>Réseau technique ou de distribution basé sur des EnR&amp;R autres</t>
  </si>
  <si>
    <t>C</t>
  </si>
  <si>
    <t>BE réalisation</t>
  </si>
  <si>
    <t>Vapeur</t>
  </si>
  <si>
    <t>Plaquettes paysagères ligneuses (référentiel 2017-1C-PFA)</t>
  </si>
  <si>
    <t>Autre (spécifier)</t>
  </si>
  <si>
    <t>Électrofiltres</t>
  </si>
  <si>
    <t>Huile thermique</t>
  </si>
  <si>
    <t>Bailleur</t>
  </si>
  <si>
    <t>Avec réseau de chaleur</t>
  </si>
  <si>
    <t>Tertiaire - Bureaux</t>
  </si>
  <si>
    <t>Fioul</t>
  </si>
  <si>
    <t>Bâtiment d'Etat</t>
  </si>
  <si>
    <t>D</t>
  </si>
  <si>
    <t>installateur</t>
  </si>
  <si>
    <t>Ecorces (référentiel 2017- 2A-CIB)</t>
  </si>
  <si>
    <t>Bailleur social</t>
  </si>
  <si>
    <t>Tertiaire - Commerce</t>
  </si>
  <si>
    <t>Electricité</t>
  </si>
  <si>
    <t>Bâtiment de santé</t>
  </si>
  <si>
    <t>Article RC</t>
  </si>
  <si>
    <t>Taille projet</t>
  </si>
  <si>
    <t>E</t>
  </si>
  <si>
    <t>Qualibois</t>
  </si>
  <si>
    <t>Plaquettes de produits connexes de scieries et assimilés (référentiel 2017 - 2B - CIB)</t>
  </si>
  <si>
    <t>Association</t>
  </si>
  <si>
    <t>Tertiaire - Enseignement</t>
  </si>
  <si>
    <t>Bois</t>
  </si>
  <si>
    <t>Solaire</t>
  </si>
  <si>
    <t>Bâtiment/Réseau communal</t>
  </si>
  <si>
    <t>Article 46</t>
  </si>
  <si>
    <t>Projet inférieur à 12 GWh/an d'EnR&amp;R injectés</t>
  </si>
  <si>
    <t>F</t>
  </si>
  <si>
    <t>Bois fin de vie utilisables selon la rubrique règlementaire 2910A (SSD) (référentiel 2017-3A-BFVBD)</t>
  </si>
  <si>
    <t>Tertiaire - Hotellerie</t>
  </si>
  <si>
    <t>Plaquettes</t>
  </si>
  <si>
    <t>Bâtiment Enseignement</t>
  </si>
  <si>
    <t>Article 41</t>
  </si>
  <si>
    <t>Projet supérieur à 12 GWh/an d'EnR&amp;R injectés</t>
  </si>
  <si>
    <t>G</t>
  </si>
  <si>
    <t>Bois fin de vie utilisables selon la rubrique règlementaire 2910B (référentiel 2017-3B-BFVBD)</t>
  </si>
  <si>
    <t>Tertiaire - Sports &amp; Loisirs</t>
  </si>
  <si>
    <t>Autres (ENR)</t>
  </si>
  <si>
    <t>Pas de réseau de chaleur</t>
  </si>
  <si>
    <t>Logements collectifs</t>
  </si>
  <si>
    <t>Article 36</t>
  </si>
  <si>
    <t>Déchet de bois non dangereux à traiter selon la rubrique règlementaire 2771 des ICPE (référentiel 2017-3C-BFVBD)</t>
  </si>
  <si>
    <t>Tertiaire - Santé</t>
  </si>
  <si>
    <t>Autres (fossile)</t>
  </si>
  <si>
    <t>Culture, tourisme</t>
  </si>
  <si>
    <t>Article 38</t>
  </si>
  <si>
    <t>Déchet de bois dangereux à traiter selon la rubrique règlementaire 2770 des ICPE (référentiel2017-3D-BFVBD)</t>
  </si>
  <si>
    <t>Tertiaire - Autres</t>
  </si>
  <si>
    <t>Extension</t>
  </si>
  <si>
    <t>Bureau, transport commerces</t>
  </si>
  <si>
    <t>Granulés de bois (référentiel 2017-4A-BFVBD)</t>
  </si>
  <si>
    <t>Industrie -Chauffage de locaux</t>
  </si>
  <si>
    <t>Taille de l'entreprise</t>
  </si>
  <si>
    <t>Granulés d'origine agricole (référentiel 2017-4B-BFVBD)</t>
  </si>
  <si>
    <t>Industries - Process</t>
  </si>
  <si>
    <t>Zone climatique</t>
  </si>
  <si>
    <t>Granulés de bois traités thermiquement (référentiel 2017-4C-BFVBD)</t>
  </si>
  <si>
    <t>Serres</t>
  </si>
  <si>
    <t>Petite</t>
  </si>
  <si>
    <t>Sous produits industriels</t>
  </si>
  <si>
    <t>H1a</t>
  </si>
  <si>
    <t>Moyenne</t>
  </si>
  <si>
    <t>Sous produits agricoles</t>
  </si>
  <si>
    <t>H1b</t>
  </si>
  <si>
    <t>Autres</t>
  </si>
  <si>
    <t>Biogaz</t>
  </si>
  <si>
    <t>H2a</t>
  </si>
  <si>
    <t>H2b</t>
  </si>
  <si>
    <t>H2c</t>
  </si>
  <si>
    <t>H2d</t>
  </si>
  <si>
    <t>Plaquettes forestières et assimilées</t>
  </si>
  <si>
    <t>H3</t>
  </si>
  <si>
    <t>Connexes Industries du bois</t>
  </si>
  <si>
    <t xml:space="preserve">Produits bois en fin de vie </t>
  </si>
  <si>
    <t>Altitude</t>
  </si>
  <si>
    <t>Déchets de Bois traités et souillés</t>
  </si>
  <si>
    <t>Granulées</t>
  </si>
  <si>
    <t>400-800</t>
  </si>
  <si>
    <t>&gt;800</t>
  </si>
  <si>
    <t>Autre</t>
  </si>
  <si>
    <t xml:space="preserve">Aide Qualité Chaufferie Bois-énergie </t>
  </si>
  <si>
    <t>Valeurs de référence</t>
  </si>
  <si>
    <t>Listes déroulantes de choix</t>
  </si>
  <si>
    <t>Ces valeurs ne peuvent pas être modifiées. Il s'agit de valeurs dite "de référence" convenu par l'ensemble de la profession dans le cadre de la démarche qualité chaufferie.</t>
  </si>
  <si>
    <t>unités</t>
  </si>
  <si>
    <t>Lien avec Réf.</t>
  </si>
  <si>
    <t>Thermique</t>
  </si>
  <si>
    <t>Etape de saisie</t>
  </si>
  <si>
    <t>Type de combustible</t>
  </si>
  <si>
    <t>Liste de choix "Oui/non"</t>
  </si>
  <si>
    <t>Usage chaleur</t>
  </si>
  <si>
    <t>Configuration chaufferie</t>
  </si>
  <si>
    <t>Configuration silo</t>
  </si>
  <si>
    <t>Type de bac à cendres</t>
  </si>
  <si>
    <t>Type de camion de livraison envisagé</t>
  </si>
  <si>
    <t>Systèmes de filtration des fumées</t>
  </si>
  <si>
    <t>Régulation ECS</t>
  </si>
  <si>
    <t>Mode de remplissage du silo</t>
  </si>
  <si>
    <t>Type de dessilage</t>
  </si>
  <si>
    <t>Liste de choix "Validé/Pas Validé"</t>
  </si>
  <si>
    <t>Consultation combustible</t>
  </si>
  <si>
    <t>Puissance chaufferie &gt; 70 kW =&gt; Nécessité d'être en conformité avec arrêté du 23 juin 1978</t>
  </si>
  <si>
    <t>Choisir</t>
  </si>
  <si>
    <t>X</t>
  </si>
  <si>
    <t>Puissance Chaufferie &gt; 2000 kW =&gt; Nécessité de respecter la classification ICPE</t>
  </si>
  <si>
    <t>Demande de subvention Etude faisabilité</t>
  </si>
  <si>
    <t>C1 (P16/45 A et M 15/25-30)</t>
  </si>
  <si>
    <t>Chauffage uniquement</t>
  </si>
  <si>
    <t>Enterrée</t>
  </si>
  <si>
    <t>Enterré</t>
  </si>
  <si>
    <t>Bac à roulettes</t>
  </si>
  <si>
    <t>Camion plateau</t>
  </si>
  <si>
    <t>Multicyclones</t>
  </si>
  <si>
    <t>Régulation Chaudière</t>
  </si>
  <si>
    <t>Bennage direct</t>
  </si>
  <si>
    <t>Dessileur rotatif</t>
  </si>
  <si>
    <t>Aucun devis</t>
  </si>
  <si>
    <t>Rendement minimum de réseau</t>
  </si>
  <si>
    <t>Demande de solde de subvention Etude faisabilité</t>
  </si>
  <si>
    <t>C2 (P45/63 et M 30/40)</t>
  </si>
  <si>
    <t>Chauffage et Eau chaude Sanitaire</t>
  </si>
  <si>
    <t>Semi-enterrée</t>
  </si>
  <si>
    <t>Semi-enterré</t>
  </si>
  <si>
    <t>Bac Manutentionable</t>
  </si>
  <si>
    <t>Tracteur-remorque</t>
  </si>
  <si>
    <t>Filtres à manches</t>
  </si>
  <si>
    <t>Régulation pilotée par les besoins</t>
  </si>
  <si>
    <t>Bac de transfert avec 1 vis sans fin inclinées</t>
  </si>
  <si>
    <t>Fond racleur</t>
  </si>
  <si>
    <t>1 devis</t>
  </si>
  <si>
    <t>Rendement maximum de réseau</t>
  </si>
  <si>
    <t>Demande de subention Investissement</t>
  </si>
  <si>
    <t>C3 (P63/125 et M 35/45)</t>
  </si>
  <si>
    <t>Sans Objet</t>
  </si>
  <si>
    <t>Process</t>
  </si>
  <si>
    <t>Hors sol</t>
  </si>
  <si>
    <t>Convoyeur humide</t>
  </si>
  <si>
    <t>Camion polybenne</t>
  </si>
  <si>
    <t>Electrofiltres</t>
  </si>
  <si>
    <t>Pas de régulation</t>
  </si>
  <si>
    <t>Bac de transfert avec 2 vis sans fin inclinées</t>
  </si>
  <si>
    <t>2 devis</t>
  </si>
  <si>
    <t>Déquote sur rendement nominal de chaudière bois</t>
  </si>
  <si>
    <t>Pré-analyse</t>
  </si>
  <si>
    <t>C4 (P100/200 et M10/20)</t>
  </si>
  <si>
    <t>Container</t>
  </si>
  <si>
    <t>Aspiration</t>
  </si>
  <si>
    <t>Camion polybenne + remroque</t>
  </si>
  <si>
    <t>Sans objet</t>
  </si>
  <si>
    <t>Bac de transfert avec 1 vis verticale</t>
  </si>
  <si>
    <t>Plus de 2 devis</t>
  </si>
  <si>
    <t>Pbois (kW) inférieur à</t>
  </si>
  <si>
    <t>C5 (P100/200 et M40/55)</t>
  </si>
  <si>
    <t>Autres (à préciser)</t>
  </si>
  <si>
    <t>Camion semi-remorque</t>
  </si>
  <si>
    <t>Soufflage</t>
  </si>
  <si>
    <t>C6 (Spécifique forte puissance)</t>
  </si>
  <si>
    <t>Camion souffleur</t>
  </si>
  <si>
    <t>Pbois (kW) supérieur à</t>
  </si>
  <si>
    <t>Formule Calcul PCI bois : (PCI Anhydre 5330 x (100-Humudité)/100)-6,7861*Humidité</t>
  </si>
  <si>
    <t>Densité thermique</t>
  </si>
  <si>
    <t>kWh/ml</t>
  </si>
  <si>
    <t>Taux de couverture bois</t>
  </si>
  <si>
    <t xml:space="preserve">Chaudière acceptable si nombre d'heures de fonctionnement supérieur à </t>
  </si>
  <si>
    <t>h</t>
  </si>
  <si>
    <t xml:space="preserve">Chaudière bien dimensionnée si nombre d'heures de fonctionnement supérieur à </t>
  </si>
  <si>
    <t>Ratio pour dimensionnement du ballon tampon</t>
  </si>
  <si>
    <t>litres/kW</t>
  </si>
  <si>
    <t>Conception chaufferie</t>
  </si>
  <si>
    <t>Pente maxi pour sortie du bac à cendres à roulettes</t>
  </si>
  <si>
    <t>Nb livraisons/an maxi de 0 à 150 kW bois</t>
  </si>
  <si>
    <t>Nb livraisons/an maxi de 150 à 500 kW bois</t>
  </si>
  <si>
    <t>Nb livraisons/an maxi de 500 à 1 000 kW bois</t>
  </si>
  <si>
    <t>Nb livraisons/an maxi pour 150 kW bois</t>
  </si>
  <si>
    <t>A valider avec Maitre d'ouvrage</t>
  </si>
  <si>
    <t>Formule surface chaufferie théorique : 0,025*Ptotale+34 (issu de l'analyse de l'Observatoire Bois-énergie)</t>
  </si>
  <si>
    <t>Surface minimale de chaufferie</t>
  </si>
  <si>
    <t>Conception silo</t>
  </si>
  <si>
    <t>Largeur de la trappe</t>
  </si>
  <si>
    <t>Longeur de la trappe</t>
  </si>
  <si>
    <t>Hauteur mini entre sol et trappe</t>
  </si>
  <si>
    <t>cm</t>
  </si>
  <si>
    <t>Hauteur maxi entre sol et trappe</t>
  </si>
  <si>
    <t>Rapport volume utile/volume total</t>
  </si>
  <si>
    <t>Profondeur maximale du silo</t>
  </si>
  <si>
    <t>Autonomie minimale du silo</t>
  </si>
  <si>
    <t>jours</t>
  </si>
  <si>
    <t>Durée acceptable de livraison</t>
  </si>
  <si>
    <t>minutes</t>
  </si>
  <si>
    <t>Voie accès au silo</t>
  </si>
  <si>
    <t>Pente de la voie d'accès dans le sens de la circulation</t>
  </si>
  <si>
    <t>Pente de la voie d'accès dans le sens transversal à la circulation</t>
  </si>
  <si>
    <t>Largeur minimale de la voie d'accès au silo</t>
  </si>
  <si>
    <t>Hauteur de dégagement de la voie d'accès au silo</t>
  </si>
  <si>
    <t>Investissement</t>
  </si>
  <si>
    <t>Coût du MWh TTC fourni mini</t>
  </si>
  <si>
    <t>€TTC/MWh</t>
  </si>
  <si>
    <t>Coût du MWh TTC fourni maxi</t>
  </si>
  <si>
    <t>Valeurs de calcul ADEME (2024)</t>
  </si>
  <si>
    <t>Cheminées &amp; qualité de l'air</t>
  </si>
  <si>
    <t>Puissance utile de l’installation</t>
  </si>
  <si>
    <t>70 à 299kW</t>
  </si>
  <si>
    <t>Hauteur minimale sans obstacle (hp)</t>
  </si>
  <si>
    <t>Distance de l’obstacle par rapport à la cheminée (d)</t>
  </si>
  <si>
    <t>&lt; 45 m</t>
  </si>
  <si>
    <t>&lt; 65 m</t>
  </si>
  <si>
    <t>&lt; 90 m</t>
  </si>
  <si>
    <t>&lt; 110 m</t>
  </si>
  <si>
    <t>Hauteur minimale des obstacles à considérer (hi)</t>
  </si>
  <si>
    <t>Élévation du débouché de la cheminée par rapport au sommet de l’obstacle (hs)</t>
  </si>
  <si>
    <t>300 à 499kW</t>
  </si>
  <si>
    <t>500 à 999kW</t>
  </si>
  <si>
    <t>Efficacité énergétique</t>
  </si>
  <si>
    <t>Typologie bâtiments:</t>
  </si>
  <si>
    <t>Plafond standart (H2b&lt;400m) (kWh/m² e finale)</t>
  </si>
  <si>
    <t>0 à 400 m</t>
  </si>
  <si>
    <t>401 à 800 m</t>
  </si>
  <si>
    <t>801 m et plus</t>
  </si>
  <si>
    <t>Taux certification moyen régional</t>
  </si>
  <si>
    <t>Régions</t>
  </si>
  <si>
    <t>Taux de certification moyen régional (PF)</t>
  </si>
  <si>
    <t>Requis ADEME certification granulé</t>
  </si>
  <si>
    <t>statistiques PEFC au 30/06/2023</t>
  </si>
  <si>
    <t>Bretagne</t>
  </si>
  <si>
    <t>Centre - Val  de Loire</t>
  </si>
  <si>
    <t>Corse</t>
  </si>
  <si>
    <t>Grand Est</t>
  </si>
  <si>
    <t>Hauts- de-France</t>
  </si>
  <si>
    <t>Ile-de-France</t>
  </si>
  <si>
    <t>Normandie</t>
  </si>
  <si>
    <t>Occitanie</t>
  </si>
  <si>
    <t>Pays de la Loire</t>
  </si>
  <si>
    <t>Provence-Alpes-Côte d'Azur</t>
  </si>
  <si>
    <t>Départements-et-régions-d-outre-mer</t>
  </si>
  <si>
    <t>Hors France</t>
  </si>
  <si>
    <t>Calcul du déficit de financement</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</si>
  <si>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</si>
  <si>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</si>
  <si>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</si>
  <si>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</si>
  <si>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</si>
  <si>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</si>
  <si>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Années</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</si>
  <si>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</si>
  <si>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</si>
  <si>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</si>
  <si>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</si>
  <si>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</si>
  <si>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</si>
  <si>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</si>
  <si>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</si>
  <si>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</si>
  <si>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</si>
  <si>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</si>
  <si>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</si>
  <si>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Total des dépenses éligibles :</t>
  </si>
  <si>
    <t>Article appliqué ici :</t>
  </si>
  <si>
    <t xml:space="preserve">Max si non concurrentiel : </t>
  </si>
  <si>
    <t>Concurrentiel ?</t>
  </si>
  <si>
    <t>Réseau 100% EnR ?</t>
  </si>
  <si>
    <t>Max si article 41</t>
  </si>
  <si>
    <t>Max si article 46 avec taux</t>
  </si>
  <si>
    <t xml:space="preserve">déficit de financement : </t>
  </si>
  <si>
    <t>Max si article 46 avec</t>
  </si>
  <si>
    <t>Données remplies pour calcul ?</t>
  </si>
  <si>
    <t>Taux max d'aide article 46</t>
  </si>
  <si>
    <t>Informations plafonds européens :</t>
  </si>
  <si>
    <t>Détails calcul maximum d'aide publique :</t>
  </si>
  <si>
    <t>=&gt; on utilise le</t>
  </si>
  <si>
    <t>Densité réseau de chaleur MWh/ml</t>
  </si>
  <si>
    <t>Avez-vous un diagnostic ?</t>
  </si>
  <si>
    <t>Rendement annuel ETAS</t>
  </si>
  <si>
    <t>Consommation entrée chaudière en MWh PCI</t>
  </si>
  <si>
    <t>Aucun</t>
  </si>
  <si>
    <t>Filtre électrostatique</t>
  </si>
  <si>
    <t>Vente de chaleur via une seule sous-station ou réseau technique</t>
  </si>
  <si>
    <t>L'ADEME ou l'opérateur CCR se réserve le droit de demander le remboursement de la totalité des aides versées si la production moyenne EnR est inférieure à 50% de l'engagement initial du maître d'ouvrage.</t>
  </si>
  <si>
    <t>L’ADEME ou l'opérateur CCR se réserve le droit de demander le remboursement de la totalité des aides versées si la production moyenne EnR est inférieure à 50% de l’engagement initial du maître d'ouvrage.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</si>
</sst>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0.00\ &quot;€&quot;;[Red]\-#,##0.00\ &quot;€&quot;"/>
    <numFmt numFmtId="42" formatCode="_-* #,##0\ &quot;€&quot;_-;\-* #,##0\ &quot;€&quot;_-;_-* &quot;-&quot;\ &quot;€&quot;_-;_-@_-"/>
    <numFmt numFmtId="44" formatCode="_-* #,##0.00\ &quot;€&quot;_-;\-* #,##0.00\ &quot;€&quot;_-;_-* &quot;-&quot;??\ &quot;€&quot;_-;_-@_-"/>
    <numFmt numFmtId="43" formatCode="_-* #,##0.00\ _€_-;\-* #,##0.00\ _€_-;_-* &quot;-&quot;??\ _€_-;_-@_-"/>
    <numFmt numFmtId="164" formatCode="_-* #,##0.00_-;\-* #,##0.00_-;_-* &quot;-&quot;??_-;_-@_-"/>
    <numFmt numFmtId="165" formatCode="General\ &quot;MWh/an&quot;"/>
    <numFmt numFmtId="166" formatCode="General\ &quot;mg/Nm3 à 6% d’O2&quot;"/>
    <numFmt numFmtId="167" formatCode="&quot;Critère max : &quot;General&quot;mg/Nm3 à 6% d’O2&quot;"/>
    <numFmt numFmtId="168" formatCode="General\ &quot;m²&quot;"/>
    <numFmt numFmtId="169" formatCode="General\ &quot;MW&quot;"/>
    <numFmt numFmtId="170" formatCode="General\ &quot;MWh utiles&quot;"/>
    <numFmt numFmtId="171" formatCode="General\ &quot;%&quot;"/>
    <numFmt numFmtId="172" formatCode="General\ &quot;MWh PCI&quot;"/>
    <numFmt numFmtId="173" formatCode="General\ &quot;mg/Nm3 à 6%O2&quot;"/>
    <numFmt numFmtId="174" formatCode="0.0%"/>
    <numFmt numFmtId="175" formatCode="General\ &quot;kWh/m²/an&quot;"/>
    <numFmt numFmtId="176" formatCode="General&quot;MWh/an&quot;"/>
    <numFmt numFmtId="177" formatCode="0.0"/>
    <numFmt numFmtId="178" formatCode="General\ &quot;kW&quot;"/>
    <numFmt numFmtId="179" formatCode="#,##0.0\ &quot;€&quot;"/>
    <numFmt numFmtId="180" formatCode="General&quot; €/MWh biomasse produit&quot;"/>
    <numFmt numFmtId="181" formatCode="#,###&quot; €&quot;"/>
    <numFmt numFmtId="182" formatCode="#,##0&quot; €/kW&quot;"/>
    <numFmt numFmtId="183" formatCode="_-* #,##0.00\ [$€-40C]_-;\-* #,##0.00\ [$€-40C]_-;_-* &quot;-&quot;??\ [$€-40C]_-;_-@_-"/>
    <numFmt numFmtId="184" formatCode="General\ &quot;ml&quot;"/>
    <numFmt numFmtId="185" formatCode="_-* #,##0\ &quot;€&quot;_-;\-* #,##0\ &quot;€&quot;_-;_-* &quot;-&quot;??\ &quot;€&quot;_-;_-@_-"/>
    <numFmt numFmtId="186" formatCode="#,##0.00\ &quot;€&quot;"/>
    <numFmt numFmtId="187" formatCode="General&quot; MWh/an&quot;"/>
    <numFmt numFmtId="188" formatCode="#,##0&quot; €/MWh&quot;"/>
    <numFmt numFmtId="189" formatCode="0&quot; m&quot;"/>
    <numFmt numFmtId="190" formatCode="General&quot; MWh EnR&amp;R/an&quot;"/>
    <numFmt numFmtId="191" formatCode="#,##0&quot; heures&quot;"/>
    <numFmt numFmtId="192" formatCode="#,##0&quot; MWh PCI&quot;"/>
    <numFmt numFmtId="193" formatCode="_-* #,##0_-;\-* #,##0_-;_-* &quot;-&quot;??_-;_-@_-"/>
    <numFmt numFmtId="194" formatCode="##,##0&quot; kW&quot;"/>
  </numFmts>
  <fonts count="154">
    <font>
      <sz val="11"/>
      <color theme="1"/>
      <name val="Calibri"/>
      <family val="2"/>
      <scheme val="minor"/>
    </font>
    <font>
      <sz val="8"/>
      <color theme="1"/>
      <name val="Arial"/>
      <family val="2"/>
    </font>
    <font>
      <i/>
      <sz val="11"/>
      <color theme="1"/>
      <name val="Calibri"/>
      <family val="2"/>
      <scheme val="minor"/>
    </font>
    <font>
      <sz val="11"/>
      <color rgb="FFFF0000"/>
      <name val="Calibri"/>
      <family val="2"/>
      <scheme val="minor"/>
    </font>
    <font>
      <sz val="9"/>
      <color theme="1"/>
      <name val="Calibri"/>
      <family val="2"/>
      <scheme val="minor"/>
    </font>
    <font>
      <sz val="9"/>
      <color indexed="81"/>
      <name val="Tahoma"/>
      <family val="2"/>
    </font>
    <font>
      <b/>
      <sz val="9"/>
      <color indexed="81"/>
      <name val="Tahoma"/>
      <family val="2"/>
    </font>
    <font>
      <sz val="9"/>
      <color indexed="81"/>
      <name val="Marianne Light"/>
      <family val="3"/>
    </font>
    <font>
      <b/>
      <sz val="9"/>
      <color indexed="81"/>
      <name val="Marianne Light"/>
      <family val="3"/>
    </font>
    <font>
      <sz val="9"/>
      <color rgb="FFFF0000"/>
      <name val="Calibri"/>
      <family val="2"/>
      <scheme val="minor"/>
    </font>
    <font>
      <sz val="9"/>
      <name val="Calibri"/>
      <family val="2"/>
      <scheme val="minor"/>
    </font>
    <font>
      <u val="double"/>
      <sz val="11"/>
      <color theme="1"/>
      <name val="Calibri"/>
      <family val="2"/>
      <scheme val="minor"/>
    </font>
    <font>
      <b/>
      <sz val="11"/>
      <color theme="1"/>
      <name val="Calibri"/>
      <family val="2"/>
      <scheme val="minor"/>
    </font>
    <font>
      <sz val="11"/>
      <color theme="4"/>
      <name val="Calibri"/>
      <family val="2"/>
      <scheme val="minor"/>
    </font>
    <font>
      <sz val="8"/>
      <color theme="1"/>
      <name val="Calibri"/>
      <family val="2"/>
      <scheme val="minor"/>
    </font>
    <font>
      <b/>
      <sz val="9"/>
      <color theme="1"/>
      <name val="Calibri"/>
      <family val="2"/>
      <scheme val="minor"/>
    </font>
    <font>
      <b/>
      <sz val="9"/>
      <name val="Calibri"/>
      <family val="2"/>
      <scheme val="minor"/>
    </font>
    <font>
      <b/>
      <sz val="9"/>
      <color theme="5"/>
      <name val="Calibri"/>
      <family val="2"/>
      <scheme val="minor"/>
    </font>
    <font>
      <b/>
      <sz val="9"/>
      <color rgb="FFFF0000"/>
      <name val="Calibri"/>
      <family val="2"/>
      <scheme val="minor"/>
    </font>
    <font>
      <u/>
      <sz val="10"/>
      <color theme="1"/>
      <name val="Calibri"/>
      <family val="2"/>
      <scheme val="minor"/>
    </font>
    <font>
      <sz val="9"/>
      <color theme="4"/>
      <name val="Calibri"/>
      <family val="2"/>
      <scheme val="minor"/>
    </font>
    <font>
      <u val="double"/>
      <sz val="11"/>
      <color theme="4"/>
      <name val="Calibri"/>
      <family val="2"/>
      <scheme val="minor"/>
    </font>
    <font>
      <b/>
      <sz val="10"/>
      <color theme="0"/>
      <name val="Calibri"/>
      <family val="2"/>
      <scheme val="minor"/>
    </font>
    <font>
      <u/>
      <sz val="11"/>
      <color theme="10"/>
      <name val="Calibri"/>
      <family val="2"/>
      <scheme val="minor"/>
    </font>
    <font>
      <sz val="11"/>
      <name val="Calibri"/>
      <family val="2"/>
      <scheme val="minor"/>
    </font>
    <font>
      <b/>
      <u/>
      <sz val="11"/>
      <color theme="10"/>
      <name val="Calibri"/>
      <family val="2"/>
      <scheme val="minor"/>
    </font>
    <font>
      <b/>
      <sz val="10"/>
      <color theme="1"/>
      <name val="Calibri"/>
      <family val="2"/>
      <scheme val="minor"/>
    </font>
    <font>
      <sz val="11"/>
      <color theme="9"/>
      <name val="Calibri"/>
      <family val="2"/>
      <scheme val="minor"/>
    </font>
    <font>
      <sz val="11"/>
      <color theme="1"/>
      <name val="Calibri"/>
      <family val="2"/>
      <scheme val="minor"/>
    </font>
    <font>
      <sz val="11"/>
      <color rgb="FF00B0F0"/>
      <name val="Calibri"/>
      <family val="2"/>
      <scheme val="minor"/>
    </font>
    <font>
      <b/>
      <sz val="10"/>
      <name val="Calibri"/>
      <family val="2"/>
      <scheme val="minor"/>
    </font>
    <font>
      <b/>
      <sz val="14"/>
      <color theme="1"/>
      <name val="Calibri"/>
      <family val="2"/>
      <scheme val="minor"/>
    </font>
    <font>
      <b/>
      <sz val="10"/>
      <color rgb="FFFF0000"/>
      <name val="Calibri"/>
      <family val="2"/>
      <scheme val="minor"/>
    </font>
    <font>
      <sz val="10"/>
      <color theme="1"/>
      <name val="Calibri"/>
      <family val="2"/>
      <scheme val="minor"/>
    </font>
    <font>
      <sz val="10"/>
      <name val="Calibri"/>
      <family val="2"/>
      <scheme val="minor"/>
    </font>
    <font>
      <b/>
      <sz val="14"/>
      <color rgb="FF00B0F0"/>
      <name val="Calibri"/>
      <family val="2"/>
      <scheme val="minor"/>
    </font>
    <font>
      <sz val="10"/>
      <name val="Arial"/>
      <family val="2"/>
    </font>
    <font>
      <b/>
      <sz val="11"/>
      <color theme="3"/>
      <name val="Calibri"/>
      <family val="2"/>
      <scheme val="minor"/>
    </font>
    <font>
      <sz val="10"/>
      <color rgb="FFFF0000"/>
      <name val="Calibri"/>
      <family val="2"/>
      <scheme val="minor"/>
    </font>
    <font>
      <b/>
      <sz val="24"/>
      <color theme="8"/>
      <name val="Calibri Light"/>
      <family val="2"/>
      <scheme val="major"/>
    </font>
    <font>
      <sz val="9"/>
      <color theme="3"/>
      <name val="Calibri"/>
      <family val="2"/>
      <scheme val="minor"/>
    </font>
    <font>
      <sz val="11"/>
      <color theme="3"/>
      <name val="Calibri"/>
      <family val="2"/>
      <scheme val="minor"/>
    </font>
    <font>
      <i/>
      <sz val="9"/>
      <color theme="3"/>
      <name val="Calibri"/>
      <family val="2"/>
      <scheme val="minor"/>
    </font>
    <font>
      <sz val="11"/>
      <color rgb="FFFFC000"/>
      <name val="Calibri"/>
      <family val="2"/>
      <scheme val="minor"/>
    </font>
    <font>
      <b/>
      <sz val="14"/>
      <color rgb="FFFF0000"/>
      <name val="Calibri"/>
      <family val="2"/>
      <scheme val="minor"/>
    </font>
    <font>
      <b/>
      <sz val="14"/>
      <color rgb="FFFFC000"/>
      <name val="Calibri"/>
      <family val="2"/>
      <scheme val="minor"/>
    </font>
    <font>
      <b/>
      <sz val="14"/>
      <color theme="9"/>
      <name val="Calibri"/>
      <family val="2"/>
      <scheme val="minor"/>
    </font>
    <font>
      <i/>
      <sz val="11"/>
      <color theme="3"/>
      <name val="Calibri"/>
      <family val="2"/>
      <scheme val="minor"/>
    </font>
    <font>
      <i/>
      <sz val="9"/>
      <color theme="1"/>
      <name val="Calibri"/>
      <family val="2"/>
      <scheme val="minor"/>
    </font>
    <font>
      <i/>
      <sz val="10"/>
      <name val="Calibri"/>
      <family val="2"/>
      <scheme val="minor"/>
    </font>
    <font>
      <u/>
      <sz val="10"/>
      <color rgb="FF00B0F0"/>
      <name val="Calibri"/>
      <family val="2"/>
      <scheme val="minor"/>
    </font>
    <font>
      <i/>
      <sz val="10"/>
      <name val="Arial"/>
      <family val="2"/>
    </font>
    <font>
      <b/>
      <sz val="10"/>
      <color rgb="FFC00000"/>
      <name val="Arial"/>
      <family val="2"/>
    </font>
    <font>
      <sz val="30"/>
      <color rgb="FFC85D17"/>
      <name val="Arial Black"/>
      <family val="2"/>
    </font>
    <font>
      <b/>
      <sz val="23"/>
      <color indexed="9"/>
      <name val="Arial"/>
      <family val="2"/>
    </font>
    <font>
      <b/>
      <sz val="11"/>
      <color indexed="9"/>
      <name val="Arial"/>
      <family val="2"/>
    </font>
    <font>
      <sz val="9"/>
      <color indexed="9"/>
      <name val="Calibri"/>
      <family val="2"/>
    </font>
    <font>
      <sz val="9.5"/>
      <color indexed="9"/>
      <name val="Calibri"/>
      <family val="2"/>
    </font>
    <font>
      <b/>
      <sz val="10"/>
      <color theme="4"/>
      <name val="Calibri"/>
      <family val="2"/>
      <scheme val="minor"/>
    </font>
    <font>
      <i/>
      <sz val="10"/>
      <color theme="3"/>
      <name val="Calibri"/>
      <family val="2"/>
      <scheme val="minor"/>
    </font>
    <font>
      <b/>
      <u/>
      <sz val="11"/>
      <color theme="1"/>
      <name val="Calibri"/>
      <family val="2"/>
      <scheme val="minor"/>
    </font>
    <font>
      <sz val="10"/>
      <color rgb="FFC00000"/>
      <name val="Arial"/>
      <family val="2"/>
    </font>
    <font>
      <i/>
      <sz val="10"/>
      <color theme="1"/>
      <name val="Calibri"/>
      <family val="2"/>
      <scheme val="minor"/>
    </font>
    <font>
      <b/>
      <sz val="11"/>
      <name val="Calibri"/>
      <family val="2"/>
      <scheme val="minor"/>
    </font>
    <font>
      <b/>
      <sz val="11"/>
      <color rgb="FFFF0000"/>
      <name val="Calibri"/>
      <family val="2"/>
      <scheme val="minor"/>
    </font>
    <font>
      <b/>
      <sz val="12"/>
      <name val="Calibri"/>
      <family val="2"/>
      <scheme val="minor"/>
    </font>
    <font>
      <b/>
      <sz val="12"/>
      <color theme="1"/>
      <name val="Calibri"/>
      <family val="2"/>
      <scheme val="minor"/>
    </font>
    <font>
      <b/>
      <sz val="12"/>
      <color rgb="FF333333"/>
      <name val="Calibri"/>
      <family val="2"/>
      <scheme val="minor"/>
    </font>
    <font>
      <b/>
      <sz val="12"/>
      <color rgb="FFFF0000"/>
      <name val="Calibri"/>
      <family val="2"/>
      <scheme val="minor"/>
    </font>
    <font>
      <b/>
      <i/>
      <sz val="11"/>
      <color theme="4"/>
      <name val="Calibri"/>
      <family val="2"/>
      <scheme val="minor"/>
    </font>
    <font>
      <sz val="14"/>
      <color indexed="81"/>
      <name val="Tahoma"/>
      <family val="2"/>
    </font>
    <font>
      <b/>
      <sz val="11"/>
      <color theme="8"/>
      <name val="Calibri"/>
      <family val="2"/>
      <scheme val="minor"/>
    </font>
    <font>
      <b/>
      <sz val="12"/>
      <color theme="8"/>
      <name val="Calibri"/>
      <family val="2"/>
      <scheme val="minor"/>
    </font>
    <font>
      <b/>
      <sz val="14"/>
      <color theme="8"/>
      <name val="Calibri"/>
      <family val="2"/>
      <scheme val="minor"/>
    </font>
    <font>
      <b/>
      <i/>
      <sz val="10"/>
      <color theme="1"/>
      <name val="Calibri"/>
      <family val="2"/>
      <scheme val="minor"/>
    </font>
    <font>
      <u/>
      <sz val="11"/>
      <color theme="1"/>
      <name val="Calibri"/>
      <family val="2"/>
      <scheme val="minor"/>
    </font>
    <font>
      <i/>
      <u/>
      <sz val="9"/>
      <color theme="1"/>
      <name val="Calibri"/>
      <family val="2"/>
      <scheme val="minor"/>
    </font>
    <font>
      <b/>
      <sz val="22"/>
      <color indexed="9"/>
      <name val="Arial"/>
      <family val="2"/>
    </font>
    <font>
      <sz val="8"/>
      <name val="Arial"/>
      <family val="2"/>
    </font>
    <font>
      <i/>
      <sz val="8"/>
      <name val="Calibri"/>
      <family val="2"/>
      <scheme val="minor"/>
    </font>
    <font>
      <b/>
      <sz val="14"/>
      <color theme="0"/>
      <name val="Calibri"/>
      <family val="2"/>
      <scheme val="minor"/>
    </font>
    <font>
      <b/>
      <sz val="13"/>
      <color theme="0"/>
      <name val="Calibri"/>
      <family val="2"/>
      <scheme val="minor"/>
    </font>
    <font>
      <sz val="13"/>
      <color theme="1"/>
      <name val="Calibri"/>
      <family val="2"/>
      <scheme val="minor"/>
    </font>
    <font>
      <b/>
      <sz val="11"/>
      <color theme="0"/>
      <name val="Calibri"/>
      <family val="2"/>
      <scheme val="minor"/>
    </font>
    <font>
      <i/>
      <sz val="11"/>
      <name val="Arial"/>
      <family val="2"/>
    </font>
    <font>
      <b/>
      <sz val="10"/>
      <color theme="7" tint="-0.249977111117893"/>
      <name val="Calibri"/>
      <family val="2"/>
      <scheme val="minor"/>
    </font>
    <font>
      <sz val="12"/>
      <color theme="1"/>
      <name val="Calibri"/>
      <family val="2"/>
      <scheme val="minor"/>
    </font>
    <font>
      <i/>
      <sz val="8"/>
      <color theme="3"/>
      <name val="Calibri"/>
      <family val="2"/>
      <scheme val="minor"/>
    </font>
    <font>
      <sz val="11"/>
      <color theme="0"/>
      <name val="Calibri"/>
      <family val="2"/>
      <scheme val="minor"/>
    </font>
    <font>
      <b/>
      <sz val="10"/>
      <color rgb="FF00B050"/>
      <name val="Calibri"/>
      <family val="2"/>
      <scheme val="minor"/>
    </font>
    <font>
      <sz val="8"/>
      <name val="Calibri"/>
      <family val="2"/>
      <scheme val="minor"/>
    </font>
    <font>
      <sz val="8"/>
      <color indexed="81"/>
      <name val="Tahoma"/>
      <family val="2"/>
    </font>
    <font>
      <b/>
      <sz val="12"/>
      <color theme="3"/>
      <name val="Calibri"/>
      <family val="2"/>
      <scheme val="minor"/>
    </font>
    <font>
      <sz val="9"/>
      <color theme="7" tint="-0.249977111117893"/>
      <name val="Calibri"/>
      <family val="2"/>
      <scheme val="minor"/>
    </font>
    <font>
      <sz val="11"/>
      <color theme="0" tint="-4.9989318521683403E-2"/>
      <name val="Calibri"/>
      <family val="2"/>
      <scheme val="minor"/>
    </font>
    <font>
      <sz val="9"/>
      <color rgb="FF000000"/>
      <name val="Calibri"/>
      <family val="2"/>
      <scheme val="minor"/>
    </font>
    <font>
      <b/>
      <sz val="22"/>
      <color theme="0"/>
      <name val="Calibri"/>
      <family val="2"/>
      <scheme val="minor"/>
    </font>
    <font>
      <sz val="16"/>
      <color theme="0"/>
      <name val="Calibri"/>
      <family val="2"/>
      <scheme val="minor"/>
    </font>
    <font>
      <sz val="20"/>
      <color theme="0"/>
      <name val="Calibri"/>
      <family val="2"/>
      <scheme val="minor"/>
    </font>
    <font>
      <sz val="9"/>
      <color theme="0"/>
      <name val="Calibri"/>
      <family val="2"/>
      <scheme val="minor"/>
    </font>
    <font>
      <sz val="14"/>
      <color theme="3"/>
      <name val="Calibri"/>
      <family val="2"/>
      <scheme val="minor"/>
    </font>
    <font>
      <b/>
      <sz val="14"/>
      <color theme="3"/>
      <name val="Calibri"/>
      <family val="2"/>
      <scheme val="minor"/>
    </font>
    <font>
      <sz val="14"/>
      <color theme="0"/>
      <name val="Calibri"/>
      <family val="2"/>
      <scheme val="minor"/>
    </font>
    <font>
      <b/>
      <sz val="13"/>
      <name val="Calibri"/>
      <family val="2"/>
      <scheme val="minor"/>
    </font>
    <font>
      <b/>
      <sz val="13"/>
      <color rgb="FFFF0000"/>
      <name val="Calibri"/>
      <family val="2"/>
      <scheme val="minor"/>
    </font>
    <font>
      <vertAlign val="subscript"/>
      <sz val="11"/>
      <color theme="1"/>
      <name val="Calibri"/>
      <family val="2"/>
      <scheme val="minor"/>
    </font>
    <font>
      <vertAlign val="subscript"/>
      <sz val="9"/>
      <color theme="1"/>
      <name val="Calibri"/>
      <family val="2"/>
      <scheme val="minor"/>
    </font>
    <font>
      <sz val="10"/>
      <color theme="3"/>
      <name val="Calibri"/>
      <family val="2"/>
      <scheme val="minor"/>
    </font>
    <font>
      <sz val="12"/>
      <color theme="3"/>
      <name val="Calibri"/>
      <family val="2"/>
      <scheme val="minor"/>
    </font>
    <font>
      <sz val="10"/>
      <color rgb="FF002060"/>
      <name val="Calibri"/>
      <family val="2"/>
      <scheme val="minor"/>
    </font>
    <font>
      <sz val="10"/>
      <color theme="7" tint="-0.249977111117893"/>
      <name val="Calibri"/>
      <family val="2"/>
      <scheme val="minor"/>
    </font>
    <font>
      <sz val="12"/>
      <color theme="7" tint="-0.249977111117893"/>
      <name val="Calibri"/>
      <family val="2"/>
      <scheme val="minor"/>
    </font>
    <font>
      <vertAlign val="subscript"/>
      <sz val="12"/>
      <color theme="3"/>
      <name val="Calibri"/>
      <family val="2"/>
      <scheme val="minor"/>
    </font>
    <font>
      <sz val="8"/>
      <color rgb="FF000000"/>
      <name val="Arial"/>
      <family val="2"/>
    </font>
    <font>
      <b/>
      <sz val="11"/>
      <color theme="0"/>
      <name val="Arial"/>
      <family val="2"/>
    </font>
    <font>
      <sz val="11"/>
      <color theme="1"/>
      <name val="Arial"/>
      <family val="2"/>
    </font>
    <font>
      <sz val="11"/>
      <color rgb="FF000000"/>
      <name val="Calibri"/>
      <family val="2"/>
      <scheme val="minor"/>
    </font>
    <font>
      <b/>
      <sz val="11"/>
      <color theme="1"/>
      <name val="Arial"/>
      <family val="2"/>
    </font>
    <font>
      <b/>
      <sz val="12"/>
      <color rgb="FF000000"/>
      <name val="Arial"/>
      <family val="2"/>
    </font>
    <font>
      <b/>
      <u/>
      <sz val="12"/>
      <color rgb="FF000000"/>
      <name val="Arial"/>
      <family val="2"/>
    </font>
    <font>
      <sz val="12"/>
      <color rgb="FF000000"/>
      <name val="Arial"/>
      <family val="2"/>
    </font>
    <font>
      <u/>
      <sz val="9"/>
      <color theme="1"/>
      <name val="Calibri"/>
      <family val="2"/>
    </font>
    <font>
      <i/>
      <u/>
      <sz val="10"/>
      <color theme="1"/>
      <name val="Arial"/>
      <family val="2"/>
    </font>
    <font>
      <b/>
      <sz val="12"/>
      <color theme="1"/>
      <name val="Arial"/>
      <family val="2"/>
    </font>
    <font>
      <b/>
      <i/>
      <sz val="11"/>
      <color theme="1"/>
      <name val="Arial"/>
      <family val="2"/>
    </font>
    <font>
      <b/>
      <i/>
      <sz val="10"/>
      <color theme="1"/>
      <name val="Arial"/>
      <family val="2"/>
    </font>
    <font>
      <b/>
      <i/>
      <u/>
      <sz val="10"/>
      <color rgb="FF000000"/>
      <name val="Marianne Light"/>
      <family val="3"/>
    </font>
    <font>
      <b/>
      <u/>
      <sz val="11"/>
      <color theme="3"/>
      <name val="Calibri"/>
      <family val="2"/>
      <scheme val="minor"/>
    </font>
    <font>
      <b/>
      <sz val="10"/>
      <color rgb="FF333333"/>
      <name val="Calibri"/>
      <family val="2"/>
      <scheme val="minor"/>
    </font>
    <font>
      <sz val="9"/>
      <color theme="9"/>
      <name val="Calibri"/>
      <family val="2"/>
      <scheme val="minor"/>
    </font>
    <font>
      <u/>
      <sz val="9"/>
      <color theme="10"/>
      <name val="Calibri"/>
      <family val="2"/>
      <scheme val="minor"/>
    </font>
    <font>
      <u/>
      <sz val="9"/>
      <color rgb="FF000000"/>
      <name val="Calibri"/>
      <family val="2"/>
      <scheme val="minor"/>
    </font>
    <font>
      <b/>
      <u/>
      <sz val="9"/>
      <color rgb="FF000000"/>
      <name val="Calibri"/>
      <family val="2"/>
      <scheme val="minor"/>
    </font>
    <font>
      <b/>
      <sz val="14"/>
      <color theme="3"/>
      <name val="Marianne"/>
      <family val="3"/>
    </font>
    <font>
      <b/>
      <sz val="16"/>
      <color theme="0"/>
      <name val="Calibri"/>
      <family val="2"/>
      <scheme val="minor"/>
    </font>
    <font>
      <b/>
      <sz val="8"/>
      <color theme="1"/>
      <name val="Calibri"/>
      <family val="2"/>
      <scheme val="minor"/>
    </font>
    <font>
      <b/>
      <u/>
      <sz val="8"/>
      <color theme="1"/>
      <name val="Calibri"/>
      <family val="2"/>
      <scheme val="minor"/>
    </font>
    <font>
      <b/>
      <sz val="9"/>
      <color theme="3"/>
      <name val="Calibri"/>
      <family val="2"/>
      <scheme val="minor"/>
    </font>
    <font>
      <sz val="11"/>
      <color rgb="FFFFFFFF"/>
      <name val="Calibri"/>
      <family val="2"/>
      <scheme val="minor"/>
    </font>
    <font>
      <b/>
      <u/>
      <sz val="16"/>
      <color theme="10"/>
      <name val="Calibri"/>
      <family val="2"/>
      <scheme val="minor"/>
    </font>
    <font>
      <u/>
      <sz val="6"/>
      <color theme="10"/>
      <name val="Calibri"/>
      <family val="2"/>
      <scheme val="minor"/>
    </font>
    <font>
      <b/>
      <sz val="11"/>
      <color rgb="FFFFC000"/>
      <name val="Calibri"/>
      <family val="2"/>
      <scheme val="minor"/>
    </font>
    <font>
      <b/>
      <sz val="10"/>
      <color theme="0" tint="-0.14999847407452621"/>
      <name val="Calibri"/>
      <family val="2"/>
      <scheme val="minor"/>
    </font>
    <font>
      <sz val="6"/>
      <color theme="1"/>
      <name val="Calibri"/>
      <family val="2"/>
      <scheme val="minor"/>
    </font>
    <font>
      <b/>
      <sz val="10"/>
      <color theme="0" tint="-4.9989318521683403E-2"/>
      <name val="Calibri"/>
      <family val="2"/>
      <scheme val="minor"/>
    </font>
    <font>
      <sz val="11"/>
      <color theme="7" tint="-0.249977111117893"/>
      <name val="Calibri"/>
      <family val="2"/>
      <scheme val="minor"/>
    </font>
    <font>
      <sz val="11"/>
      <color rgb="FF000000"/>
      <name val="Consolas"/>
      <family val="3"/>
    </font>
    <font>
      <sz val="11"/>
      <color rgb="FFFFFFFF"/>
      <name val="Calibri"/>
      <family val="2"/>
    </font>
    <font>
      <sz val="11"/>
      <color rgb="FF000000"/>
      <name val="Calibri"/>
      <family val="2"/>
    </font>
    <font>
      <b/>
      <sz val="10"/>
      <color rgb="FF000000"/>
      <name val="Calibri"/>
      <family val="2"/>
      <scheme val="minor"/>
    </font>
    <font>
      <b/>
      <sz val="10"/>
      <color theme="3"/>
      <name val="Calibri"/>
      <family val="2"/>
      <scheme val="minor"/>
    </font>
    <font>
      <sz val="13"/>
      <color rgb="FF000000"/>
      <name val="Calibri"/>
      <family val="2"/>
      <scheme val="minor"/>
    </font>
    <font>
      <sz val="11"/>
      <color theme="0" tint="-0.499984740745262"/>
      <name val="Calibri"/>
      <family val="2"/>
      <scheme val="minor"/>
    </font>
    <font>
      <b/>
      <sz val="10"/>
      <color rgb="FFFFC000"/>
      <name val="Calibri"/>
      <family val="2"/>
      <scheme val="minor"/>
    </font>
  </fonts>
  <fills count="3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7F7F7"/>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D3DEF1"/>
        <bgColor indexed="64"/>
      </patternFill>
    </fill>
    <fill>
      <patternFill patternType="solid">
        <fgColor rgb="FFE5EBF7"/>
        <bgColor indexed="64"/>
      </patternFill>
    </fill>
    <fill>
      <patternFill patternType="solid">
        <fgColor rgb="FFFFF7E1"/>
        <bgColor indexed="64"/>
      </patternFill>
    </fill>
    <fill>
      <patternFill patternType="solid">
        <fgColor indexed="9"/>
        <bgColor indexed="26"/>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25"/>
      </patternFill>
    </fill>
    <fill>
      <patternFill patternType="solid">
        <fgColor theme="0" tint="-4.9989318521683403E-2"/>
        <bgColor indexed="26"/>
      </patternFill>
    </fill>
    <fill>
      <patternFill patternType="solid">
        <fgColor theme="8" tint="0.59999389629810485"/>
        <bgColor indexed="56"/>
      </patternFill>
    </fill>
    <fill>
      <patternFill patternType="solid">
        <fgColor theme="8"/>
        <bgColor indexed="56"/>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B050"/>
        <bgColor indexed="64"/>
      </patternFill>
    </fill>
    <fill>
      <patternFill patternType="solid">
        <fgColor theme="8"/>
        <bgColor indexed="64"/>
      </patternFill>
    </fill>
    <fill>
      <patternFill patternType="solid">
        <fgColor theme="0"/>
        <bgColor rgb="FFC0C0C0"/>
      </patternFill>
    </fill>
    <fill>
      <patternFill patternType="solid">
        <fgColor rgb="FFCCCCCC"/>
        <bgColor rgb="FFC0C0C0"/>
      </patternFill>
    </fill>
    <fill>
      <patternFill patternType="solid">
        <fgColor theme="9" tint="0.79998168889431442"/>
        <bgColor rgb="FFC0C0C0"/>
      </patternFill>
    </fill>
    <fill>
      <patternFill patternType="solid">
        <fgColor rgb="FF00B0F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F2F2F2"/>
        <bgColor indexed="64"/>
      </patternFill>
    </fill>
    <fill>
      <patternFill patternType="solid">
        <fgColor rgb="FFD9D9D9"/>
        <bgColor indexed="64"/>
      </patternFill>
    </fill>
    <fill>
      <patternFill patternType="solid">
        <fgColor theme="3"/>
        <bgColor indexed="64"/>
      </patternFill>
    </fill>
    <fill>
      <patternFill patternType="solid">
        <fgColor rgb="FFFFFFFF"/>
        <bgColor rgb="FF000000"/>
      </patternFill>
    </fill>
    <fill>
      <patternFill patternType="solid">
        <fgColor theme="2"/>
        <bgColor indexed="64"/>
      </patternFill>
    </fill>
    <fill>
      <patternFill patternType="solid">
        <fgColor theme="0" tint="-0.34998626667073579"/>
        <bgColor indexed="64"/>
      </patternFill>
    </fill>
    <fill>
      <patternFill patternType="solid">
        <fgColor theme="0"/>
        <bgColor rgb="FF000000"/>
      </patternFill>
    </fill>
  </fills>
  <borders count="27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bottom style="double">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double">
        <color indexed="64"/>
      </bottom>
      <diagonal/>
    </border>
    <border>
      <left style="hair">
        <color indexed="64"/>
      </left>
      <right/>
      <top style="thin">
        <color indexed="64"/>
      </top>
      <bottom/>
      <diagonal/>
    </border>
    <border>
      <left style="hair">
        <color indexed="64"/>
      </left>
      <right/>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style="thin">
        <color theme="8" tint="0.59999389629810485"/>
      </left>
      <right/>
      <top style="thin">
        <color theme="8" tint="0.59999389629810485"/>
      </top>
      <bottom style="thin">
        <color theme="8" tint="0.59999389629810485"/>
      </bottom>
      <diagonal/>
    </border>
    <border>
      <left style="thin">
        <color theme="8" tint="0.59999389629810485"/>
      </left>
      <right/>
      <top/>
      <bottom/>
      <diagonal/>
    </border>
    <border>
      <left style="thin">
        <color theme="8" tint="0.59999389629810485"/>
      </left>
      <right/>
      <top/>
      <bottom style="thin">
        <color theme="8" tint="0.59999389629810485"/>
      </bottom>
      <diagonal/>
    </border>
    <border>
      <left/>
      <right style="thin">
        <color theme="8" tint="0.59999389629810485"/>
      </right>
      <top/>
      <bottom style="thin">
        <color theme="8" tint="0.59999389629810485"/>
      </bottom>
      <diagonal/>
    </border>
    <border>
      <left style="thin">
        <color theme="8" tint="0.59999389629810485"/>
      </left>
      <right style="thin">
        <color theme="8" tint="0.59999389629810485"/>
      </right>
      <top/>
      <bottom style="thin">
        <color theme="8" tint="0.59999389629810485"/>
      </bottom>
      <diagonal/>
    </border>
    <border>
      <left style="thin">
        <color theme="8" tint="0.59999389629810485"/>
      </left>
      <right/>
      <top style="thin">
        <color theme="8" tint="0.59999389629810485"/>
      </top>
      <bottom/>
      <diagonal/>
    </border>
    <border>
      <left/>
      <right/>
      <top style="thin">
        <color theme="8" tint="0.59999389629810485"/>
      </top>
      <bottom/>
      <diagonal/>
    </border>
    <border>
      <left/>
      <right/>
      <top/>
      <bottom style="thin">
        <color theme="8" tint="0.59999389629810485"/>
      </bottom>
      <diagonal/>
    </border>
    <border>
      <left/>
      <right/>
      <top style="medium">
        <color theme="8" tint="0.59999389629810485"/>
      </top>
      <bottom/>
      <diagonal/>
    </border>
    <border>
      <left style="medium">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medium">
        <color theme="8" tint="0.59999389629810485"/>
      </left>
      <right/>
      <top/>
      <bottom/>
      <diagonal/>
    </border>
    <border>
      <left/>
      <right style="medium">
        <color theme="8" tint="0.59999389629810485"/>
      </right>
      <top/>
      <bottom/>
      <diagonal/>
    </border>
    <border>
      <left style="medium">
        <color theme="8" tint="0.59999389629810485"/>
      </left>
      <right/>
      <top/>
      <bottom style="medium">
        <color theme="8" tint="0.59999389629810485"/>
      </bottom>
      <diagonal/>
    </border>
    <border>
      <left/>
      <right/>
      <top/>
      <bottom style="medium">
        <color theme="8" tint="0.59999389629810485"/>
      </bottom>
      <diagonal/>
    </border>
    <border>
      <left/>
      <right style="medium">
        <color theme="8" tint="0.59999389629810485"/>
      </right>
      <top/>
      <bottom style="medium">
        <color theme="8" tint="0.59999389629810485"/>
      </bottom>
      <diagonal/>
    </border>
    <border>
      <left/>
      <right/>
      <top style="medium">
        <color theme="8" tint="0.59999389629810485"/>
      </top>
      <bottom style="medium">
        <color theme="8" tint="0.59999389629810485"/>
      </bottom>
      <diagonal/>
    </border>
    <border>
      <left/>
      <right style="medium">
        <color theme="8" tint="0.59999389629810485"/>
      </right>
      <top style="medium">
        <color theme="8" tint="0.59999389629810485"/>
      </top>
      <bottom style="medium">
        <color theme="8" tint="0.59999389629810485"/>
      </bottom>
      <diagonal/>
    </border>
    <border>
      <left style="medium">
        <color theme="8" tint="0.59999389629810485"/>
      </left>
      <right style="thin">
        <color theme="8" tint="0.59999389629810485"/>
      </right>
      <top style="thin">
        <color theme="8" tint="0.59999389629810485"/>
      </top>
      <bottom/>
      <diagonal/>
    </border>
    <border>
      <left/>
      <right style="medium">
        <color theme="8" tint="0.59999389629810485"/>
      </right>
      <top style="thin">
        <color theme="8" tint="0.59999389629810485"/>
      </top>
      <bottom/>
      <diagonal/>
    </border>
    <border>
      <left style="thin">
        <color theme="8" tint="0.59999389629810485"/>
      </left>
      <right style="medium">
        <color theme="8" tint="0.59999389629810485"/>
      </right>
      <top/>
      <bottom style="thin">
        <color theme="8" tint="0.59999389629810485"/>
      </bottom>
      <diagonal/>
    </border>
    <border>
      <left style="thin">
        <color theme="8" tint="0.59999389629810485"/>
      </left>
      <right style="medium">
        <color theme="8" tint="0.59999389629810485"/>
      </right>
      <top style="thin">
        <color theme="8" tint="0.59999389629810485"/>
      </top>
      <bottom/>
      <diagonal/>
    </border>
    <border>
      <left style="medium">
        <color theme="8" tint="0.59999389629810485"/>
      </left>
      <right/>
      <top/>
      <bottom style="thin">
        <color theme="8" tint="0.59999389629810485"/>
      </bottom>
      <diagonal/>
    </border>
    <border>
      <left/>
      <right style="thin">
        <color theme="8" tint="0.59999389629810485"/>
      </right>
      <top style="thin">
        <color theme="8" tint="0.59999389629810485"/>
      </top>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medium">
        <color rgb="FFC9D6ED"/>
      </left>
      <right/>
      <top style="thin">
        <color theme="8" tint="0.59999389629810485"/>
      </top>
      <bottom style="thin">
        <color theme="8" tint="0.59999389629810485"/>
      </bottom>
      <diagonal/>
    </border>
    <border>
      <left style="medium">
        <color theme="8" tint="0.59999389629810485"/>
      </left>
      <right/>
      <top style="thin">
        <color theme="8" tint="0.59999389629810485"/>
      </top>
      <bottom style="thin">
        <color theme="8" tint="0.59999389629810485"/>
      </bottom>
      <diagonal/>
    </border>
    <border>
      <left/>
      <right style="medium">
        <color theme="8" tint="0.59999389629810485"/>
      </right>
      <top style="thin">
        <color theme="8" tint="0.59999389629810485"/>
      </top>
      <bottom style="thin">
        <color theme="8" tint="0.59999389629810485"/>
      </bottom>
      <diagonal/>
    </border>
    <border>
      <left/>
      <right style="hair">
        <color theme="8" tint="0.59999389629810485"/>
      </right>
      <top/>
      <bottom/>
      <diagonal/>
    </border>
    <border>
      <left style="hair">
        <color theme="8" tint="0.59999389629810485"/>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style="thin">
        <color theme="8" tint="0.39997558519241921"/>
      </top>
      <bottom/>
      <diagonal/>
    </border>
    <border>
      <left style="thin">
        <color theme="8"/>
      </left>
      <right style="thin">
        <color theme="8"/>
      </right>
      <top style="thin">
        <color theme="8"/>
      </top>
      <bottom style="thin">
        <color theme="8"/>
      </bottom>
      <diagonal/>
    </border>
    <border>
      <left style="medium">
        <color theme="8"/>
      </left>
      <right style="medium">
        <color theme="8"/>
      </right>
      <top style="medium">
        <color theme="8"/>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tint="0.59999389629810485"/>
      </left>
      <right/>
      <top style="thin">
        <color theme="8" tint="0.59999389629810485"/>
      </top>
      <bottom/>
      <diagonal/>
    </border>
    <border>
      <left style="medium">
        <color theme="8"/>
      </left>
      <right style="medium">
        <color theme="8"/>
      </right>
      <top/>
      <bottom/>
      <diagonal/>
    </border>
    <border>
      <left style="medium">
        <color theme="8"/>
      </left>
      <right/>
      <top/>
      <bottom/>
      <diagonal/>
    </border>
    <border>
      <left style="medium">
        <color theme="8" tint="0.39997558519241921"/>
      </left>
      <right style="medium">
        <color theme="8" tint="0.39997558519241921"/>
      </right>
      <top style="medium">
        <color theme="8" tint="0.39997558519241921"/>
      </top>
      <bottom style="medium">
        <color theme="8" tint="0.39997558519241921"/>
      </bottom>
      <diagonal/>
    </border>
    <border>
      <left/>
      <right/>
      <top style="medium">
        <color theme="8" tint="0.39997558519241921"/>
      </top>
      <bottom style="thin">
        <color theme="8" tint="0.59999389629810485"/>
      </bottom>
      <diagonal/>
    </border>
    <border>
      <left style="medium">
        <color theme="8" tint="0.39997558519241921"/>
      </left>
      <right style="thin">
        <color theme="8" tint="0.59999389629810485"/>
      </right>
      <top style="thin">
        <color theme="8" tint="0.59999389629810485"/>
      </top>
      <bottom style="thin">
        <color theme="8" tint="0.59999389629810485"/>
      </bottom>
      <diagonal/>
    </border>
    <border>
      <left/>
      <right style="medium">
        <color theme="8"/>
      </right>
      <top/>
      <bottom/>
      <diagonal/>
    </border>
    <border>
      <left style="medium">
        <color theme="8" tint="0.39997558519241921"/>
      </left>
      <right style="medium">
        <color theme="8" tint="0.39997558519241921"/>
      </right>
      <top style="medium">
        <color theme="8" tint="0.39997558519241921"/>
      </top>
      <bottom style="thin">
        <color theme="8" tint="0.59999389629810485"/>
      </bottom>
      <diagonal/>
    </border>
    <border>
      <left style="medium">
        <color theme="8" tint="0.39997558519241921"/>
      </left>
      <right style="medium">
        <color theme="8" tint="0.39997558519241921"/>
      </right>
      <top style="thin">
        <color theme="8" tint="0.59999389629810485"/>
      </top>
      <bottom/>
      <diagonal/>
    </border>
    <border>
      <left style="medium">
        <color theme="8" tint="0.39997558519241921"/>
      </left>
      <right style="medium">
        <color theme="8" tint="0.39997558519241921"/>
      </right>
      <top style="thin">
        <color theme="8" tint="0.59999389629810485"/>
      </top>
      <bottom style="thin">
        <color theme="8" tint="0.59999389629810485"/>
      </bottom>
      <diagonal/>
    </border>
    <border>
      <left style="medium">
        <color theme="8" tint="0.39997558519241921"/>
      </left>
      <right/>
      <top style="medium">
        <color theme="8" tint="0.39997558519241921"/>
      </top>
      <bottom style="medium">
        <color theme="8" tint="0.39997558519241921"/>
      </bottom>
      <diagonal/>
    </border>
    <border>
      <left/>
      <right/>
      <top style="medium">
        <color theme="8" tint="0.39997558519241921"/>
      </top>
      <bottom style="medium">
        <color theme="8" tint="0.39997558519241921"/>
      </bottom>
      <diagonal/>
    </border>
    <border>
      <left/>
      <right style="medium">
        <color theme="8" tint="0.39997558519241921"/>
      </right>
      <top style="medium">
        <color theme="8" tint="0.39997558519241921"/>
      </top>
      <bottom style="medium">
        <color theme="8" tint="0.39997558519241921"/>
      </bottom>
      <diagonal/>
    </border>
    <border>
      <left style="medium">
        <color theme="8" tint="0.39997558519241921"/>
      </left>
      <right style="thin">
        <color theme="8" tint="0.59999389629810485"/>
      </right>
      <top style="medium">
        <color theme="8" tint="0.39997558519241921"/>
      </top>
      <bottom style="thin">
        <color theme="8" tint="0.59999389629810485"/>
      </bottom>
      <diagonal/>
    </border>
    <border>
      <left style="thin">
        <color theme="8" tint="0.59999389629810485"/>
      </left>
      <right style="thin">
        <color theme="8" tint="0.59999389629810485"/>
      </right>
      <top style="medium">
        <color theme="8" tint="0.39997558519241921"/>
      </top>
      <bottom style="thin">
        <color theme="8" tint="0.59999389629810485"/>
      </bottom>
      <diagonal/>
    </border>
    <border>
      <left style="thin">
        <color theme="8" tint="0.59999389629810485"/>
      </left>
      <right/>
      <top style="medium">
        <color theme="8" tint="0.39997558519241921"/>
      </top>
      <bottom style="thin">
        <color theme="8" tint="0.59999389629810485"/>
      </bottom>
      <diagonal/>
    </border>
    <border>
      <left style="medium">
        <color theme="8" tint="0.39997558519241921"/>
      </left>
      <right style="thin">
        <color theme="8" tint="0.59999389629810485"/>
      </right>
      <top style="thin">
        <color theme="8" tint="0.59999389629810485"/>
      </top>
      <bottom/>
      <diagonal/>
    </border>
    <border>
      <left/>
      <right style="thin">
        <color theme="8" tint="0.59999389629810485"/>
      </right>
      <top style="medium">
        <color theme="8" tint="0.39997558519241921"/>
      </top>
      <bottom style="thin">
        <color theme="8" tint="0.59999389629810485"/>
      </bottom>
      <diagonal/>
    </border>
    <border>
      <left/>
      <right/>
      <top style="medium">
        <color theme="8" tint="0.39997558519241921"/>
      </top>
      <bottom/>
      <diagonal/>
    </border>
    <border>
      <left/>
      <right style="medium">
        <color theme="8" tint="0.39997558519241921"/>
      </right>
      <top style="medium">
        <color theme="8" tint="0.39997558519241921"/>
      </top>
      <bottom/>
      <diagonal/>
    </border>
    <border>
      <left style="medium">
        <color theme="8" tint="0.39997558519241921"/>
      </left>
      <right/>
      <top/>
      <bottom/>
      <diagonal/>
    </border>
    <border>
      <left style="medium">
        <color theme="8" tint="0.39997558519241921"/>
      </left>
      <right/>
      <top/>
      <bottom style="medium">
        <color theme="8" tint="0.39997558519241921"/>
      </bottom>
      <diagonal/>
    </border>
    <border>
      <left style="medium">
        <color theme="8" tint="0.39997558519241921"/>
      </left>
      <right/>
      <top style="medium">
        <color theme="8" tint="0.39997558519241921"/>
      </top>
      <bottom/>
      <diagonal/>
    </border>
    <border>
      <left/>
      <right style="medium">
        <color theme="8" tint="0.39997558519241921"/>
      </right>
      <top/>
      <bottom style="thin">
        <color theme="8" tint="0.59999389629810485"/>
      </bottom>
      <diagonal/>
    </border>
    <border>
      <left/>
      <right/>
      <top/>
      <bottom style="medium">
        <color theme="8" tint="0.39997558519241921"/>
      </bottom>
      <diagonal/>
    </border>
    <border>
      <left/>
      <right style="medium">
        <color theme="8" tint="0.39997558519241921"/>
      </right>
      <top/>
      <bottom style="medium">
        <color theme="8" tint="0.39997558519241921"/>
      </bottom>
      <diagonal/>
    </border>
    <border>
      <left style="medium">
        <color theme="8" tint="0.39997558519241921"/>
      </left>
      <right/>
      <top/>
      <bottom style="thin">
        <color theme="8" tint="0.59999389629810485"/>
      </bottom>
      <diagonal/>
    </border>
    <border>
      <left style="medium">
        <color theme="8" tint="0.39997558519241921"/>
      </left>
      <right style="thin">
        <color theme="8" tint="0.59999389629810485"/>
      </right>
      <top/>
      <bottom style="thin">
        <color theme="8" tint="0.59999389629810485"/>
      </bottom>
      <diagonal/>
    </border>
    <border>
      <left/>
      <right style="medium">
        <color theme="8" tint="0.39997558519241921"/>
      </right>
      <top/>
      <bottom/>
      <diagonal/>
    </border>
    <border>
      <left/>
      <right style="hair">
        <color indexed="64"/>
      </right>
      <top/>
      <bottom style="medium">
        <color theme="8" tint="0.39997558519241921"/>
      </bottom>
      <diagonal/>
    </border>
    <border>
      <left style="medium">
        <color theme="8" tint="0.39997558519241921"/>
      </left>
      <right/>
      <top style="medium">
        <color theme="8" tint="0.59999389629810485"/>
      </top>
      <bottom/>
      <diagonal/>
    </border>
    <border>
      <left style="medium">
        <color theme="8" tint="0.39997558519241921"/>
      </left>
      <right/>
      <top/>
      <bottom style="medium">
        <color theme="8" tint="0.59999389629810485"/>
      </bottom>
      <diagonal/>
    </border>
    <border>
      <left style="medium">
        <color theme="8" tint="0.59999389629810485"/>
      </left>
      <right/>
      <top/>
      <bottom style="medium">
        <color theme="8" tint="0.39997558519241921"/>
      </bottom>
      <diagonal/>
    </border>
    <border>
      <left/>
      <right style="hair">
        <color theme="8" tint="0.59999389629810485"/>
      </right>
      <top/>
      <bottom style="medium">
        <color theme="8" tint="0.39997558519241921"/>
      </bottom>
      <diagonal/>
    </border>
    <border>
      <left style="hair">
        <color theme="8" tint="0.59999389629810485"/>
      </left>
      <right/>
      <top/>
      <bottom style="medium">
        <color theme="8" tint="0.3999755851924192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top/>
      <bottom style="hair">
        <color auto="1"/>
      </bottom>
      <diagonal/>
    </border>
    <border>
      <left style="medium">
        <color theme="8" tint="0.39997558519241921"/>
      </left>
      <right style="hair">
        <color auto="1"/>
      </right>
      <top style="hair">
        <color auto="1"/>
      </top>
      <bottom style="hair">
        <color auto="1"/>
      </bottom>
      <diagonal/>
    </border>
    <border>
      <left style="hair">
        <color auto="1"/>
      </left>
      <right style="medium">
        <color theme="8" tint="0.39997558519241921"/>
      </right>
      <top style="hair">
        <color auto="1"/>
      </top>
      <bottom style="hair">
        <color auto="1"/>
      </bottom>
      <diagonal/>
    </border>
    <border>
      <left style="hair">
        <color auto="1"/>
      </left>
      <right style="medium">
        <color theme="8" tint="0.39997558519241921"/>
      </right>
      <top style="hair">
        <color auto="1"/>
      </top>
      <bottom/>
      <diagonal/>
    </border>
    <border>
      <left style="hair">
        <color auto="1"/>
      </left>
      <right style="medium">
        <color theme="8" tint="0.39997558519241921"/>
      </right>
      <top/>
      <bottom/>
      <diagonal/>
    </border>
    <border>
      <left style="hair">
        <color auto="1"/>
      </left>
      <right style="medium">
        <color theme="8" tint="0.39997558519241921"/>
      </right>
      <top/>
      <bottom style="hair">
        <color auto="1"/>
      </bottom>
      <diagonal/>
    </border>
    <border>
      <left style="hair">
        <color auto="1"/>
      </left>
      <right style="hair">
        <color auto="1"/>
      </right>
      <top style="hair">
        <color auto="1"/>
      </top>
      <bottom style="medium">
        <color theme="8" tint="0.39997558519241921"/>
      </bottom>
      <diagonal/>
    </border>
    <border>
      <left style="thin">
        <color theme="8" tint="0.59999389629810485"/>
      </left>
      <right style="thin">
        <color theme="8" tint="0.59999389629810485"/>
      </right>
      <top/>
      <bottom/>
      <diagonal/>
    </border>
    <border>
      <left style="medium">
        <color theme="8" tint="0.59999389629810485"/>
      </left>
      <right style="thin">
        <color theme="8" tint="0.59999389629810485"/>
      </right>
      <top/>
      <bottom/>
      <diagonal/>
    </border>
    <border>
      <left style="medium">
        <color theme="8"/>
      </left>
      <right/>
      <top/>
      <bottom style="medium">
        <color theme="8"/>
      </bottom>
      <diagonal/>
    </border>
    <border>
      <left/>
      <right/>
      <top/>
      <bottom style="medium">
        <color theme="8"/>
      </bottom>
      <diagonal/>
    </border>
    <border>
      <left style="medium">
        <color theme="8" tint="0.59999389629810485"/>
      </left>
      <right/>
      <top style="medium">
        <color theme="8" tint="0.39997558519241921"/>
      </top>
      <bottom style="thin">
        <color theme="8" tint="0.59999389629810485"/>
      </bottom>
      <diagonal/>
    </border>
    <border>
      <left/>
      <right style="medium">
        <color theme="8" tint="0.59999389629810485"/>
      </right>
      <top style="medium">
        <color theme="8" tint="0.39997558519241921"/>
      </top>
      <bottom style="thin">
        <color theme="8" tint="0.59999389629810485"/>
      </bottom>
      <diagonal/>
    </border>
    <border>
      <left/>
      <right style="medium">
        <color theme="8" tint="0.59999389629810485"/>
      </right>
      <top style="medium">
        <color theme="8" tint="0.39997558519241921"/>
      </top>
      <bottom style="medium">
        <color theme="8" tint="0.39997558519241921"/>
      </bottom>
      <diagonal/>
    </border>
    <border>
      <left style="thin">
        <color theme="8" tint="0.59999389629810485"/>
      </left>
      <right style="thin">
        <color theme="8" tint="0.59999389629810485"/>
      </right>
      <top/>
      <bottom style="medium">
        <color theme="8" tint="0.59999389629810485"/>
      </bottom>
      <diagonal/>
    </border>
    <border>
      <left style="thin">
        <color theme="8" tint="0.59999389629810485"/>
      </left>
      <right style="thin">
        <color theme="8" tint="0.59999389629810485"/>
      </right>
      <top style="medium">
        <color theme="8" tint="0.59999389629810485"/>
      </top>
      <bottom/>
      <diagonal/>
    </border>
    <border>
      <left/>
      <right style="medium">
        <color theme="8"/>
      </right>
      <top/>
      <bottom style="medium">
        <color theme="8"/>
      </bottom>
      <diagonal/>
    </border>
    <border>
      <left style="medium">
        <color theme="8"/>
      </left>
      <right style="medium">
        <color theme="8"/>
      </right>
      <top style="thin">
        <color theme="8"/>
      </top>
      <bottom style="medium">
        <color theme="8"/>
      </bottom>
      <diagonal/>
    </border>
    <border>
      <left style="medium">
        <color theme="8"/>
      </left>
      <right style="medium">
        <color theme="8"/>
      </right>
      <top style="medium">
        <color theme="8"/>
      </top>
      <bottom style="thin">
        <color theme="8"/>
      </bottom>
      <diagonal/>
    </border>
    <border>
      <left style="thin">
        <color theme="8"/>
      </left>
      <right/>
      <top/>
      <bottom/>
      <diagonal/>
    </border>
    <border>
      <left/>
      <right style="medium">
        <color theme="8" tint="0.39997558519241921"/>
      </right>
      <top/>
      <bottom style="thin">
        <color theme="8"/>
      </bottom>
      <diagonal/>
    </border>
    <border>
      <left/>
      <right style="medium">
        <color theme="8" tint="0.39997558519241921"/>
      </right>
      <top/>
      <bottom style="medium">
        <color theme="8" tint="0.59999389629810485"/>
      </bottom>
      <diagonal/>
    </border>
    <border>
      <left style="medium">
        <color theme="8" tint="0.39997558519241921"/>
      </left>
      <right style="medium">
        <color theme="8" tint="0.39997558519241921"/>
      </right>
      <top/>
      <bottom style="medium">
        <color theme="8" tint="0.59999389629810485"/>
      </bottom>
      <diagonal/>
    </border>
    <border>
      <left style="thin">
        <color theme="8" tint="0.59999389629810485"/>
      </left>
      <right style="thin">
        <color theme="8" tint="0.59999389629810485"/>
      </right>
      <top style="thin">
        <color theme="8" tint="0.59999389629810485"/>
      </top>
      <bottom style="thin">
        <color theme="8"/>
      </bottom>
      <diagonal/>
    </border>
    <border>
      <left style="thin">
        <color theme="8" tint="0.59999389629810485"/>
      </left>
      <right style="thin">
        <color theme="8" tint="0.59999389629810485"/>
      </right>
      <top style="thin">
        <color theme="8"/>
      </top>
      <bottom style="thin">
        <color theme="8"/>
      </bottom>
      <diagonal/>
    </border>
    <border>
      <left style="medium">
        <color theme="8" tint="0.39997558519241921"/>
      </left>
      <right/>
      <top style="thin">
        <color theme="8" tint="0.59999389629810485"/>
      </top>
      <bottom style="thin">
        <color theme="8" tint="0.59999389629810485"/>
      </bottom>
      <diagonal/>
    </border>
    <border>
      <left style="thin">
        <color theme="8" tint="0.39997558519241921"/>
      </left>
      <right/>
      <top style="medium">
        <color theme="8" tint="0.39997558519241921"/>
      </top>
      <bottom style="medium">
        <color theme="8" tint="0.39997558519241921"/>
      </bottom>
      <diagonal/>
    </border>
    <border>
      <left/>
      <right style="thin">
        <color theme="8" tint="0.39997558519241921"/>
      </right>
      <top style="medium">
        <color theme="8" tint="0.39997558519241921"/>
      </top>
      <bottom style="medium">
        <color theme="8" tint="0.39997558519241921"/>
      </bottom>
      <diagonal/>
    </border>
    <border>
      <left style="thin">
        <color theme="8" tint="0.39997558519241921"/>
      </left>
      <right style="thin">
        <color theme="8" tint="0.39997558519241921"/>
      </right>
      <top style="medium">
        <color theme="8" tint="0.39997558519241921"/>
      </top>
      <bottom style="medium">
        <color theme="8" tint="0.39997558519241921"/>
      </bottom>
      <diagonal/>
    </border>
    <border>
      <left style="medium">
        <color theme="8" tint="0.39997558519241921"/>
      </left>
      <right style="thin">
        <color theme="8" tint="0.59999389629810485"/>
      </right>
      <top style="medium">
        <color theme="8" tint="0.39997558519241921"/>
      </top>
      <bottom style="medium">
        <color theme="8" tint="0.39997558519241921"/>
      </bottom>
      <diagonal/>
    </border>
    <border>
      <left style="thin">
        <color theme="8" tint="0.59999389629810485"/>
      </left>
      <right style="thin">
        <color theme="8" tint="0.59999389629810485"/>
      </right>
      <top style="medium">
        <color theme="8" tint="0.39997558519241921"/>
      </top>
      <bottom style="medium">
        <color theme="8" tint="0.39997558519241921"/>
      </bottom>
      <diagonal/>
    </border>
    <border>
      <left style="thin">
        <color theme="8" tint="0.59999389629810485"/>
      </left>
      <right style="medium">
        <color theme="8" tint="0.39997558519241921"/>
      </right>
      <top style="medium">
        <color theme="8" tint="0.39997558519241921"/>
      </top>
      <bottom style="medium">
        <color theme="8" tint="0.39997558519241921"/>
      </bottom>
      <diagonal/>
    </border>
    <border>
      <left/>
      <right/>
      <top style="medium">
        <color theme="8" tint="0.59999389629810485"/>
      </top>
      <bottom style="medium">
        <color theme="8" tint="0.39997558519241921"/>
      </bottom>
      <diagonal/>
    </border>
    <border>
      <left style="thin">
        <color theme="8"/>
      </left>
      <right style="thin">
        <color theme="8"/>
      </right>
      <top/>
      <bottom style="thin">
        <color theme="8"/>
      </bottom>
      <diagonal/>
    </border>
    <border>
      <left style="thin">
        <color theme="8" tint="0.59999389629810485"/>
      </left>
      <right style="thin">
        <color theme="8" tint="0.59999389629810485"/>
      </right>
      <top/>
      <bottom style="thin">
        <color theme="8"/>
      </bottom>
      <diagonal/>
    </border>
    <border>
      <left style="medium">
        <color theme="8" tint="0.39997558519241921"/>
      </left>
      <right style="medium">
        <color theme="8" tint="0.39997558519241921"/>
      </right>
      <top/>
      <bottom style="medium">
        <color theme="8" tint="0.39997558519241921"/>
      </bottom>
      <diagonal/>
    </border>
    <border>
      <left style="medium">
        <color theme="8" tint="0.59999389629810485"/>
      </left>
      <right/>
      <top style="medium">
        <color theme="8" tint="0.59999389629810485"/>
      </top>
      <bottom style="medium">
        <color theme="8" tint="0.39997558519241921"/>
      </bottom>
      <diagonal/>
    </border>
    <border>
      <left/>
      <right style="medium">
        <color theme="8" tint="0.59999389629810485"/>
      </right>
      <top style="medium">
        <color theme="8" tint="0.59999389629810485"/>
      </top>
      <bottom style="medium">
        <color theme="8" tint="0.39997558519241921"/>
      </bottom>
      <diagonal/>
    </border>
    <border>
      <left style="medium">
        <color theme="8" tint="0.59999389629810485"/>
      </left>
      <right style="thin">
        <color theme="8" tint="0.59999389629810485"/>
      </right>
      <top/>
      <bottom style="thin">
        <color theme="8"/>
      </bottom>
      <diagonal/>
    </border>
    <border>
      <left style="medium">
        <color theme="8" tint="0.59999389629810485"/>
      </left>
      <right style="thin">
        <color theme="8" tint="0.59999389629810485"/>
      </right>
      <top/>
      <bottom style="thin">
        <color theme="8" tint="0.59999389629810485"/>
      </bottom>
      <diagonal/>
    </border>
    <border>
      <left style="medium">
        <color theme="8" tint="0.59999389629810485"/>
      </left>
      <right style="thin">
        <color theme="8" tint="0.59999389629810485"/>
      </right>
      <top style="thin">
        <color theme="8" tint="0.59999389629810485"/>
      </top>
      <bottom style="thin">
        <color theme="8"/>
      </bottom>
      <diagonal/>
    </border>
    <border>
      <left style="medium">
        <color theme="8" tint="0.59999389629810485"/>
      </left>
      <right style="thin">
        <color theme="8" tint="0.59999389629810485"/>
      </right>
      <top style="thin">
        <color theme="8"/>
      </top>
      <bottom style="thin">
        <color theme="8"/>
      </bottom>
      <diagonal/>
    </border>
    <border>
      <left/>
      <right style="medium">
        <color theme="8" tint="0.59999389629810485"/>
      </right>
      <top style="medium">
        <color theme="8" tint="0.39997558519241921"/>
      </top>
      <bottom/>
      <diagonal/>
    </border>
    <border>
      <left style="medium">
        <color theme="8" tint="0.39997558519241921"/>
      </left>
      <right/>
      <top style="medium">
        <color theme="8" tint="0.59999389629810485"/>
      </top>
      <bottom style="medium">
        <color theme="8" tint="0.5999938962981048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4" tint="0.59999389629810485"/>
      </left>
      <right/>
      <top style="medium">
        <color theme="4" tint="0.59999389629810485"/>
      </top>
      <bottom style="medium">
        <color theme="8" tint="0.39997558519241921"/>
      </bottom>
      <diagonal/>
    </border>
    <border>
      <left/>
      <right/>
      <top style="medium">
        <color theme="4" tint="0.59999389629810485"/>
      </top>
      <bottom style="medium">
        <color theme="8" tint="0.39997558519241921"/>
      </bottom>
      <diagonal/>
    </border>
    <border>
      <left/>
      <right style="medium">
        <color theme="4" tint="0.59999389629810485"/>
      </right>
      <top style="medium">
        <color theme="4" tint="0.59999389629810485"/>
      </top>
      <bottom style="medium">
        <color theme="8" tint="0.39997558519241921"/>
      </bottom>
      <diagonal/>
    </border>
    <border>
      <left style="medium">
        <color theme="4" tint="0.59999389629810485"/>
      </left>
      <right/>
      <top style="thin">
        <color theme="8" tint="0.59999389629810485"/>
      </top>
      <bottom style="thin">
        <color theme="8" tint="0.59999389629810485"/>
      </bottom>
      <diagonal/>
    </border>
    <border>
      <left style="medium">
        <color theme="4" tint="0.59999389629810485"/>
      </left>
      <right/>
      <top style="medium">
        <color theme="8" tint="0.59999389629810485"/>
      </top>
      <bottom/>
      <diagonal/>
    </border>
    <border>
      <left style="thin">
        <color theme="8" tint="0.59999389629810485"/>
      </left>
      <right style="medium">
        <color theme="4" tint="0.59999389629810485"/>
      </right>
      <top style="medium">
        <color theme="8" tint="0.59999389629810485"/>
      </top>
      <bottom/>
      <diagonal/>
    </border>
    <border>
      <left style="medium">
        <color theme="4" tint="0.59999389629810485"/>
      </left>
      <right/>
      <top style="medium">
        <color theme="8" tint="0.39997558519241921"/>
      </top>
      <bottom style="medium">
        <color theme="8" tint="0.39997558519241921"/>
      </bottom>
      <diagonal/>
    </border>
    <border>
      <left/>
      <right style="medium">
        <color theme="4" tint="0.59999389629810485"/>
      </right>
      <top style="medium">
        <color theme="8" tint="0.39997558519241921"/>
      </top>
      <bottom style="medium">
        <color theme="8" tint="0.39997558519241921"/>
      </bottom>
      <diagonal/>
    </border>
    <border>
      <left style="thin">
        <color theme="8" tint="0.59999389629810485"/>
      </left>
      <right style="medium">
        <color theme="4" tint="0.59999389629810485"/>
      </right>
      <top/>
      <bottom style="thin">
        <color theme="8" tint="0.59999389629810485"/>
      </bottom>
      <diagonal/>
    </border>
    <border>
      <left style="thin">
        <color theme="8" tint="0.59999389629810485"/>
      </left>
      <right style="medium">
        <color theme="4" tint="0.59999389629810485"/>
      </right>
      <top style="thin">
        <color theme="8" tint="0.59999389629810485"/>
      </top>
      <bottom style="thin">
        <color theme="8" tint="0.59999389629810485"/>
      </bottom>
      <diagonal/>
    </border>
    <border>
      <left style="thin">
        <color theme="8" tint="0.59999389629810485"/>
      </left>
      <right style="medium">
        <color theme="4" tint="0.59999389629810485"/>
      </right>
      <top style="thin">
        <color theme="8" tint="0.59999389629810485"/>
      </top>
      <bottom/>
      <diagonal/>
    </border>
    <border>
      <left style="thin">
        <color theme="8" tint="0.59999389629810485"/>
      </left>
      <right style="medium">
        <color theme="4" tint="0.59999389629810485"/>
      </right>
      <top/>
      <bottom style="medium">
        <color theme="8" tint="0.59999389629810485"/>
      </bottom>
      <diagonal/>
    </border>
    <border>
      <left style="thin">
        <color theme="8" tint="0.59999389629810485"/>
      </left>
      <right style="thin">
        <color theme="8" tint="0.59999389629810485"/>
      </right>
      <top/>
      <bottom style="medium">
        <color theme="4" tint="0.59999389629810485"/>
      </bottom>
      <diagonal/>
    </border>
    <border>
      <left style="hair">
        <color indexed="64"/>
      </left>
      <right style="medium">
        <color theme="4" tint="0.59999389629810485"/>
      </right>
      <top style="hair">
        <color indexed="64"/>
      </top>
      <bottom style="hair">
        <color indexed="64"/>
      </bottom>
      <diagonal/>
    </border>
    <border>
      <left style="medium">
        <color theme="4" tint="0.59999389629810485"/>
      </left>
      <right/>
      <top style="medium">
        <color theme="4" tint="0.59999389629810485"/>
      </top>
      <bottom style="medium">
        <color theme="4" tint="0.59999389629810485"/>
      </bottom>
      <diagonal/>
    </border>
    <border>
      <left/>
      <right/>
      <top style="medium">
        <color theme="4" tint="0.59999389629810485"/>
      </top>
      <bottom style="medium">
        <color theme="4" tint="0.59999389629810485"/>
      </bottom>
      <diagonal/>
    </border>
    <border>
      <left/>
      <right style="medium">
        <color theme="4" tint="0.59999389629810485"/>
      </right>
      <top style="medium">
        <color theme="4" tint="0.59999389629810485"/>
      </top>
      <bottom style="medium">
        <color theme="4" tint="0.59999389629810485"/>
      </bottom>
      <diagonal/>
    </border>
    <border>
      <left/>
      <right/>
      <top/>
      <bottom style="medium">
        <color theme="4" tint="0.39997558519241921"/>
      </bottom>
      <diagonal/>
    </border>
    <border>
      <left style="medium">
        <color theme="4" tint="0.39997558519241921"/>
      </left>
      <right/>
      <top style="medium">
        <color theme="4" tint="0.39997558519241921"/>
      </top>
      <bottom style="medium">
        <color theme="8" tint="0.39997558519241921"/>
      </bottom>
      <diagonal/>
    </border>
    <border>
      <left/>
      <right/>
      <top style="medium">
        <color theme="4" tint="0.39997558519241921"/>
      </top>
      <bottom style="medium">
        <color theme="8" tint="0.39997558519241921"/>
      </bottom>
      <diagonal/>
    </border>
    <border>
      <left/>
      <right style="medium">
        <color theme="4" tint="0.39997558519241921"/>
      </right>
      <top style="medium">
        <color theme="4" tint="0.39997558519241921"/>
      </top>
      <bottom style="medium">
        <color theme="8" tint="0.39997558519241921"/>
      </bottom>
      <diagonal/>
    </border>
    <border>
      <left style="medium">
        <color theme="4" tint="0.39997558519241921"/>
      </left>
      <right/>
      <top/>
      <bottom/>
      <diagonal/>
    </border>
    <border>
      <left/>
      <right style="medium">
        <color theme="4" tint="0.39997558519241921"/>
      </right>
      <top/>
      <bottom/>
      <diagonal/>
    </border>
    <border>
      <left/>
      <right style="medium">
        <color theme="4" tint="0.39997558519241921"/>
      </right>
      <top/>
      <bottom style="thin">
        <color theme="8" tint="0.59999389629810485"/>
      </bottom>
      <diagonal/>
    </border>
    <border>
      <left style="medium">
        <color theme="4" tint="0.39997558519241921"/>
      </left>
      <right/>
      <top style="thin">
        <color theme="8" tint="0.59999389629810485"/>
      </top>
      <bottom style="thin">
        <color theme="8" tint="0.59999389629810485"/>
      </bottom>
      <diagonal/>
    </border>
    <border>
      <left/>
      <right style="medium">
        <color theme="4" tint="0.39997558519241921"/>
      </right>
      <top/>
      <bottom style="medium">
        <color theme="4" tint="0.39997558519241921"/>
      </bottom>
      <diagonal/>
    </border>
    <border>
      <left style="medium">
        <color theme="8" tint="0.39997558519241921"/>
      </left>
      <right/>
      <top style="thin">
        <color theme="8" tint="0.59999389629810485"/>
      </top>
      <bottom/>
      <diagonal/>
    </border>
    <border>
      <left/>
      <right style="thin">
        <color theme="8" tint="0.59999389629810485"/>
      </right>
      <top/>
      <bottom/>
      <diagonal/>
    </border>
    <border>
      <left/>
      <right style="thick">
        <color theme="8" tint="0.39997558519241921"/>
      </right>
      <top/>
      <bottom/>
      <diagonal/>
    </border>
    <border>
      <left style="thin">
        <color theme="8" tint="0.59999389629810485"/>
      </left>
      <right style="thick">
        <color theme="8" tint="0.39997558519241921"/>
      </right>
      <top style="thin">
        <color theme="8" tint="0.59999389629810485"/>
      </top>
      <bottom style="thin">
        <color theme="8" tint="0.59999389629810485"/>
      </bottom>
      <diagonal/>
    </border>
    <border>
      <left style="thin">
        <color theme="8" tint="0.59999389629810485"/>
      </left>
      <right style="thick">
        <color theme="8" tint="0.39997558519241921"/>
      </right>
      <top style="thin">
        <color theme="8" tint="0.59999389629810485"/>
      </top>
      <bottom/>
      <diagonal/>
    </border>
    <border>
      <left/>
      <right style="thick">
        <color theme="8" tint="0.39997558519241921"/>
      </right>
      <top/>
      <bottom style="thin">
        <color theme="8" tint="0.59999389629810485"/>
      </bottom>
      <diagonal/>
    </border>
    <border>
      <left/>
      <right style="thick">
        <color theme="8" tint="0.39997558519241921"/>
      </right>
      <top style="thin">
        <color theme="8" tint="0.59999389629810485"/>
      </top>
      <bottom style="thin">
        <color theme="8" tint="0.59999389629810485"/>
      </bottom>
      <diagonal/>
    </border>
    <border>
      <left/>
      <right style="thick">
        <color theme="8" tint="0.39997558519241921"/>
      </right>
      <top style="medium">
        <color theme="8" tint="0.39997558519241921"/>
      </top>
      <bottom style="thin">
        <color theme="8" tint="0.59999389629810485"/>
      </bottom>
      <diagonal/>
    </border>
    <border>
      <left/>
      <right style="thick">
        <color theme="8" tint="0.39997558519241921"/>
      </right>
      <top style="medium">
        <color theme="8" tint="0.39997558519241921"/>
      </top>
      <bottom style="medium">
        <color theme="8" tint="0.39997558519241921"/>
      </bottom>
      <diagonal/>
    </border>
    <border>
      <left/>
      <right style="thick">
        <color theme="8" tint="0.39997558519241921"/>
      </right>
      <top style="medium">
        <color theme="8" tint="0.39997558519241921"/>
      </top>
      <bottom/>
      <diagonal/>
    </border>
    <border>
      <left/>
      <right style="thick">
        <color theme="8" tint="0.39997558519241921"/>
      </right>
      <top/>
      <bottom style="medium">
        <color theme="8" tint="0.39997558519241921"/>
      </bottom>
      <diagonal/>
    </border>
    <border>
      <left style="thin">
        <color theme="8" tint="0.59999389629810485"/>
      </left>
      <right style="thick">
        <color theme="8" tint="0.39997558519241921"/>
      </right>
      <top style="medium">
        <color theme="8" tint="0.39997558519241921"/>
      </top>
      <bottom style="medium">
        <color theme="8" tint="0.39997558519241921"/>
      </bottom>
      <diagonal/>
    </border>
    <border>
      <left style="thin">
        <color theme="8" tint="0.59999389629810485"/>
      </left>
      <right style="thick">
        <color theme="8" tint="0.39997558519241921"/>
      </right>
      <top style="medium">
        <color theme="8" tint="0.39997558519241921"/>
      </top>
      <bottom style="thin">
        <color theme="8" tint="0.59999389629810485"/>
      </bottom>
      <diagonal/>
    </border>
    <border>
      <left style="thin">
        <color theme="8" tint="0.59999389629810485"/>
      </left>
      <right style="thick">
        <color theme="8" tint="0.39997558519241921"/>
      </right>
      <top style="thin">
        <color theme="8" tint="0.59999389629810485"/>
      </top>
      <bottom style="medium">
        <color theme="8" tint="0.39997558519241921"/>
      </bottom>
      <diagonal/>
    </border>
    <border>
      <left/>
      <right style="medium">
        <color theme="8" tint="0.59999389629810485"/>
      </right>
      <top style="medium">
        <color theme="8" tint="0.59999389629810485"/>
      </top>
      <bottom/>
      <diagonal/>
    </border>
    <border>
      <left/>
      <right style="medium">
        <color theme="4" tint="0.59999389629810485"/>
      </right>
      <top style="thin">
        <color theme="8" tint="0.59999389629810485"/>
      </top>
      <bottom style="thin">
        <color theme="8" tint="0.59999389629810485"/>
      </bottom>
      <diagonal/>
    </border>
    <border>
      <left/>
      <right style="medium">
        <color theme="4" tint="0.59999389629810485"/>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theme="8" tint="0.59999389629810485"/>
      </left>
      <right/>
      <top style="medium">
        <color theme="8" tint="0.39997558519241921"/>
      </top>
      <bottom/>
      <diagonal/>
    </border>
    <border>
      <left style="thin">
        <color theme="8" tint="0.59999389629810485"/>
      </left>
      <right style="medium">
        <color theme="8" tint="0.39997558519241921"/>
      </right>
      <top style="thin">
        <color theme="8"/>
      </top>
      <bottom/>
      <diagonal/>
    </border>
    <border>
      <left style="thin">
        <color theme="8" tint="0.59999389629810485"/>
      </left>
      <right style="medium">
        <color theme="8" tint="0.39997558519241921"/>
      </right>
      <top/>
      <bottom style="thin">
        <color theme="8"/>
      </bottom>
      <diagonal/>
    </border>
    <border>
      <left style="thin">
        <color theme="8" tint="0.59999389629810485"/>
      </left>
      <right/>
      <top style="thin">
        <color theme="8"/>
      </top>
      <bottom/>
      <diagonal/>
    </border>
    <border>
      <left style="thin">
        <color theme="8" tint="0.59999389629810485"/>
      </left>
      <right/>
      <top/>
      <bottom style="thin">
        <color theme="8"/>
      </bottom>
      <diagonal/>
    </border>
    <border>
      <left/>
      <right style="medium">
        <color rgb="FFC9D6ED"/>
      </right>
      <top style="thin">
        <color theme="8" tint="0.59999389629810485"/>
      </top>
      <bottom style="thin">
        <color theme="8" tint="0.59999389629810485"/>
      </bottom>
      <diagonal/>
    </border>
    <border>
      <left style="medium">
        <color theme="4" tint="0.59999389629810485"/>
      </left>
      <right/>
      <top style="medium">
        <color theme="8" tint="0.39997558519241921"/>
      </top>
      <bottom style="thin">
        <color theme="8" tint="0.59999389629810485"/>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medium">
        <color theme="8" tint="0.39997558519241921"/>
      </top>
      <bottom style="medium">
        <color theme="8" tint="0.39997558519241921"/>
      </bottom>
      <diagonal/>
    </border>
    <border>
      <left style="thin">
        <color indexed="64"/>
      </left>
      <right style="thin">
        <color indexed="64"/>
      </right>
      <top style="thin">
        <color indexed="64"/>
      </top>
      <bottom/>
      <diagonal/>
    </border>
    <border>
      <left style="medium">
        <color theme="4" tint="0.39997558519241921"/>
      </left>
      <right/>
      <top style="thin">
        <color theme="8" tint="0.59999389629810485"/>
      </top>
      <bottom/>
      <diagonal/>
    </border>
    <border>
      <left style="medium">
        <color theme="4" tint="0.39997558519241921"/>
      </left>
      <right/>
      <top/>
      <bottom style="thin">
        <color theme="8" tint="0.59999389629810485"/>
      </bottom>
      <diagonal/>
    </border>
    <border>
      <left style="medium">
        <color theme="4" tint="0.39997558519241921"/>
      </left>
      <right/>
      <top/>
      <bottom style="medium">
        <color theme="8" tint="0.39997558519241921"/>
      </bottom>
      <diagonal/>
    </border>
    <border>
      <left/>
      <right style="thin">
        <color theme="8" tint="0.59999389629810485"/>
      </right>
      <top/>
      <bottom style="medium">
        <color theme="8" tint="0.39997558519241921"/>
      </bottom>
      <diagonal/>
    </border>
    <border>
      <left style="medium">
        <color indexed="64"/>
      </left>
      <right style="thin">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8" tint="0.59999389629810485"/>
      </right>
      <top style="medium">
        <color theme="8" tint="0.39997558519241921"/>
      </top>
      <bottom/>
      <diagonal/>
    </border>
    <border>
      <left style="medium">
        <color theme="4" tint="0.39997558519241921"/>
      </left>
      <right/>
      <top style="medium">
        <color theme="8" tint="0.39997558519241921"/>
      </top>
      <bottom/>
      <diagonal/>
    </border>
    <border>
      <left style="thin">
        <color theme="8" tint="0.59999389629810485"/>
      </left>
      <right style="thin">
        <color theme="8" tint="0.59999389629810485"/>
      </right>
      <top style="medium">
        <color theme="8" tint="0.39997558519241921"/>
      </top>
      <bottom/>
      <diagonal/>
    </border>
    <border>
      <left/>
      <right style="medium">
        <color theme="4" tint="0.39997558519241921"/>
      </right>
      <top style="medium">
        <color theme="8" tint="0.39997558519241921"/>
      </top>
      <bottom style="thin">
        <color theme="8" tint="0.59999389629810485"/>
      </bottom>
      <diagonal/>
    </border>
    <border>
      <left style="thin">
        <color theme="8" tint="0.59999389629810485"/>
      </left>
      <right/>
      <top style="medium">
        <color theme="8" tint="0.39997558519241921"/>
      </top>
      <bottom style="medium">
        <color theme="8" tint="0.39997558519241921"/>
      </bottom>
      <diagonal/>
    </border>
    <border>
      <left/>
      <right style="medium">
        <color theme="4" tint="0.39997558519241921"/>
      </right>
      <top style="medium">
        <color theme="8" tint="0.39997558519241921"/>
      </top>
      <bottom style="medium">
        <color theme="8" tint="0.39997558519241921"/>
      </bottom>
      <diagonal/>
    </border>
    <border>
      <left style="medium">
        <color theme="4" tint="0.59999389629810485"/>
      </left>
      <right/>
      <top/>
      <bottom/>
      <diagonal/>
    </border>
    <border>
      <left/>
      <right style="thin">
        <color theme="4" tint="0.39997558519241921"/>
      </right>
      <top style="thin">
        <color theme="8" tint="0.59999389629810485"/>
      </top>
      <bottom style="thin">
        <color theme="8" tint="0.59999389629810485"/>
      </bottom>
      <diagonal/>
    </border>
    <border>
      <left style="thin">
        <color theme="8" tint="0.59999389629810485"/>
      </left>
      <right style="thin">
        <color theme="8" tint="0.59999389629810485"/>
      </right>
      <top/>
      <bottom style="medium">
        <color theme="8" tint="0.39997558519241921"/>
      </bottom>
      <diagonal/>
    </border>
    <border>
      <left style="thin">
        <color indexed="64"/>
      </left>
      <right style="thin">
        <color indexed="64"/>
      </right>
      <top style="thin">
        <color theme="8" tint="0.59999389629810485"/>
      </top>
      <bottom style="thin">
        <color theme="8" tint="0.59999389629810485"/>
      </bottom>
      <diagonal/>
    </border>
    <border>
      <left style="thin">
        <color indexed="64"/>
      </left>
      <right style="thin">
        <color indexed="64"/>
      </right>
      <top/>
      <bottom style="thin">
        <color theme="8" tint="0.59999389629810485"/>
      </bottom>
      <diagonal/>
    </border>
    <border>
      <left style="medium">
        <color theme="8"/>
      </left>
      <right/>
      <top style="thin">
        <color theme="8" tint="0.59999389629810485"/>
      </top>
      <bottom style="thin">
        <color theme="8" tint="0.59999389629810485"/>
      </bottom>
      <diagonal/>
    </border>
    <border>
      <left/>
      <right style="medium">
        <color theme="8"/>
      </right>
      <top style="thin">
        <color theme="8" tint="0.59999389629810485"/>
      </top>
      <bottom style="thin">
        <color theme="8" tint="0.59999389629810485"/>
      </bottom>
      <diagonal/>
    </border>
    <border>
      <left style="thin">
        <color theme="8" tint="0.59999389629810485"/>
      </left>
      <right/>
      <top/>
      <bottom style="medium">
        <color theme="8" tint="0.39997558519241921"/>
      </bottom>
      <diagonal/>
    </border>
    <border>
      <left/>
      <right style="hair">
        <color indexed="64"/>
      </right>
      <top style="thin">
        <color theme="4"/>
      </top>
      <bottom style="thin">
        <color theme="4"/>
      </bottom>
      <diagonal/>
    </border>
    <border>
      <left/>
      <right/>
      <top style="thin">
        <color theme="4"/>
      </top>
      <bottom style="thin">
        <color theme="4"/>
      </bottom>
      <diagonal/>
    </border>
    <border>
      <left style="medium">
        <color theme="4" tint="0.59999389629810485"/>
      </left>
      <right/>
      <top style="thin">
        <color theme="8" tint="0.59999389629810485"/>
      </top>
      <bottom/>
      <diagonal/>
    </border>
    <border>
      <left style="medium">
        <color theme="4" tint="0.59999389629810485"/>
      </left>
      <right/>
      <top/>
      <bottom style="medium">
        <color theme="8" tint="0.39997558519241921"/>
      </bottom>
      <diagonal/>
    </border>
    <border>
      <left/>
      <right style="medium">
        <color theme="4" tint="0.59999389629810485"/>
      </right>
      <top/>
      <bottom style="medium">
        <color theme="8" tint="0.39997558519241921"/>
      </bottom>
      <diagonal/>
    </border>
    <border>
      <left style="thick">
        <color rgb="FF000000"/>
      </left>
      <right/>
      <top/>
      <bottom style="thick">
        <color rgb="FF000000"/>
      </bottom>
      <diagonal/>
    </border>
    <border>
      <left/>
      <right/>
      <top/>
      <bottom style="thick">
        <color rgb="FF000000"/>
      </bottom>
      <diagonal/>
    </border>
    <border>
      <left style="thick">
        <color rgb="FF000000"/>
      </left>
      <right/>
      <top style="thick">
        <color rgb="FF000000"/>
      </top>
      <bottom style="medium">
        <color theme="8" tint="0.39997558519241921"/>
      </bottom>
      <diagonal/>
    </border>
    <border>
      <left/>
      <right/>
      <top style="thick">
        <color rgb="FF000000"/>
      </top>
      <bottom style="medium">
        <color theme="8" tint="0.39997558519241921"/>
      </bottom>
      <diagonal/>
    </border>
    <border>
      <left/>
      <right style="thick">
        <color rgb="FF000000"/>
      </right>
      <top style="thick">
        <color rgb="FF000000"/>
      </top>
      <bottom style="medium">
        <color theme="8" tint="0.39997558519241921"/>
      </bottom>
      <diagonal/>
    </border>
    <border>
      <left style="thick">
        <color rgb="FF000000"/>
      </left>
      <right/>
      <top style="medium">
        <color theme="8" tint="0.39997558519241921"/>
      </top>
      <bottom/>
      <diagonal/>
    </border>
    <border>
      <left style="medium">
        <color theme="8" tint="0.59999389629810485"/>
      </left>
      <right style="thick">
        <color rgb="FF000000"/>
      </right>
      <top/>
      <bottom/>
      <diagonal/>
    </border>
    <border>
      <left style="thick">
        <color rgb="FF000000"/>
      </left>
      <right/>
      <top/>
      <bottom/>
      <diagonal/>
    </border>
    <border>
      <left style="thick">
        <color rgb="FF000000"/>
      </left>
      <right/>
      <top/>
      <bottom style="medium">
        <color theme="8" tint="0.59999389629810485"/>
      </bottom>
      <diagonal/>
    </border>
    <border>
      <left style="thick">
        <color rgb="FF000000"/>
      </left>
      <right/>
      <top style="medium">
        <color theme="8" tint="0.59999389629810485"/>
      </top>
      <bottom/>
      <diagonal/>
    </border>
    <border>
      <left/>
      <right style="medium">
        <color theme="8" tint="0.59999389629810485"/>
      </right>
      <top/>
      <bottom style="thick">
        <color rgb="FF000000"/>
      </bottom>
      <diagonal/>
    </border>
    <border>
      <left style="medium">
        <color theme="8" tint="0.59999389629810485"/>
      </left>
      <right style="thick">
        <color rgb="FF000000"/>
      </right>
      <top/>
      <bottom style="thick">
        <color rgb="FF000000"/>
      </bottom>
      <diagonal/>
    </border>
    <border>
      <left style="hair">
        <color indexed="64"/>
      </left>
      <right/>
      <top/>
      <bottom style="medium">
        <color theme="8" tint="0.39997558519241921"/>
      </bottom>
      <diagonal/>
    </border>
    <border>
      <left style="medium">
        <color theme="8" tint="0.39997558519241921"/>
      </left>
      <right/>
      <top style="medium">
        <color theme="8" tint="0.59999389629810485"/>
      </top>
      <bottom style="medium">
        <color theme="4" tint="0.39997558519241921"/>
      </bottom>
      <diagonal/>
    </border>
    <border>
      <left/>
      <right/>
      <top style="medium">
        <color theme="8" tint="0.59999389629810485"/>
      </top>
      <bottom style="medium">
        <color theme="4" tint="0.39997558519241921"/>
      </bottom>
      <diagonal/>
    </border>
    <border>
      <left style="medium">
        <color theme="4" tint="0.39997558519241921"/>
      </left>
      <right/>
      <top style="medium">
        <color theme="4" tint="0.39997558519241921"/>
      </top>
      <bottom/>
      <diagonal/>
    </border>
    <border>
      <left/>
      <right/>
      <top style="medium">
        <color theme="4" tint="0.39997558519241921"/>
      </top>
      <bottom/>
      <diagonal/>
    </border>
    <border>
      <left/>
      <right style="medium">
        <color theme="4" tint="0.39997558519241921"/>
      </right>
      <top style="medium">
        <color theme="4" tint="0.39997558519241921"/>
      </top>
      <bottom/>
      <diagonal/>
    </border>
    <border>
      <left style="medium">
        <color theme="4" tint="0.39997558519241921"/>
      </left>
      <right/>
      <top/>
      <bottom style="medium">
        <color theme="4" tint="0.39997558519241921"/>
      </bottom>
      <diagonal/>
    </border>
  </borders>
  <cellStyleXfs count="10">
    <xf numFmtId="0" fontId="0" fillId="0" borderId="0"/>
    <xf numFmtId="0" fontId="1" fillId="0" borderId="0"/>
    <xf numFmtId="0" fontId="23" fillId="0" borderId="0" applyNumberFormat="0" applyFill="0" applyBorder="0" applyAlignment="0" applyProtection="0"/>
    <xf numFmtId="9" fontId="28"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cellStyleXfs>
  <cellXfs count="1216">
    <xf numFmtId="0" fontId="0" fillId="0" borderId="0" xfId="0"/>
    <xf numFmtId="0" fontId="0" fillId="2" borderId="0" xfId="0" applyFill="1"/>
    <xf numFmtId="0" fontId="0" fillId="0" borderId="0" xfId="0" applyAlignment="1">
      <alignment horizontal="left" vertical="top"/>
    </xf>
    <xf numFmtId="0" fontId="12" fillId="0" borderId="0" xfId="0" applyFont="1" applyAlignment="1">
      <alignment horizontal="left" vertical="top"/>
    </xf>
    <xf numFmtId="0" fontId="3" fillId="2" borderId="0" xfId="0" applyFont="1" applyFill="1"/>
    <xf numFmtId="0" fontId="3" fillId="0" borderId="0" xfId="0" applyFont="1"/>
    <xf numFmtId="0" fontId="39" fillId="0" borderId="0" xfId="4" applyFont="1"/>
    <xf numFmtId="0" fontId="41" fillId="0" borderId="0" xfId="0" applyFont="1" applyAlignment="1">
      <alignment horizontal="left" vertical="top"/>
    </xf>
    <xf numFmtId="0" fontId="41" fillId="0" borderId="0" xfId="0" applyFont="1"/>
    <xf numFmtId="0" fontId="0" fillId="16" borderId="0" xfId="0" applyFill="1"/>
    <xf numFmtId="0" fontId="37" fillId="0" borderId="0" xfId="0" applyFont="1"/>
    <xf numFmtId="0" fontId="24" fillId="15" borderId="54" xfId="0" applyFont="1" applyFill="1" applyBorder="1" applyAlignment="1">
      <alignment horizontal="center" vertical="center"/>
    </xf>
    <xf numFmtId="0" fontId="24" fillId="15" borderId="54" xfId="0" applyFont="1" applyFill="1" applyBorder="1" applyAlignment="1">
      <alignment horizontal="center" vertical="center" wrapText="1"/>
    </xf>
    <xf numFmtId="0" fontId="0" fillId="15" borderId="54" xfId="0" applyFill="1" applyBorder="1" applyAlignment="1">
      <alignment horizontal="center" vertical="center"/>
    </xf>
    <xf numFmtId="180" fontId="24" fillId="6" borderId="54" xfId="0" applyNumberFormat="1" applyFont="1" applyFill="1" applyBorder="1" applyAlignment="1">
      <alignment horizontal="center" vertical="center"/>
    </xf>
    <xf numFmtId="9" fontId="24" fillId="6" borderId="54" xfId="3" applyFont="1" applyFill="1" applyBorder="1" applyAlignment="1">
      <alignment horizontal="center" vertical="center"/>
    </xf>
    <xf numFmtId="0" fontId="36" fillId="0" borderId="0" xfId="4"/>
    <xf numFmtId="0" fontId="53" fillId="14" borderId="0" xfId="4" applyFont="1" applyFill="1" applyAlignment="1">
      <alignment wrapText="1"/>
    </xf>
    <xf numFmtId="0" fontId="36" fillId="2" borderId="0" xfId="4" applyFill="1"/>
    <xf numFmtId="0" fontId="36" fillId="14" borderId="0" xfId="4" applyFill="1"/>
    <xf numFmtId="0" fontId="36" fillId="14" borderId="0" xfId="4" applyFill="1" applyAlignment="1">
      <alignment horizontal="center"/>
    </xf>
    <xf numFmtId="0" fontId="36" fillId="14" borderId="0" xfId="4" applyFill="1" applyAlignment="1">
      <alignment horizontal="left" vertical="center"/>
    </xf>
    <xf numFmtId="0" fontId="36" fillId="14" borderId="0" xfId="4" applyFill="1" applyAlignment="1">
      <alignment horizontal="right"/>
    </xf>
    <xf numFmtId="0" fontId="51" fillId="14" borderId="0" xfId="4" applyFont="1" applyFill="1" applyAlignment="1">
      <alignment horizontal="center"/>
    </xf>
    <xf numFmtId="0" fontId="36" fillId="2" borderId="0" xfId="4" applyFill="1" applyAlignment="1">
      <alignment vertical="center" wrapText="1"/>
    </xf>
    <xf numFmtId="0" fontId="36" fillId="0" borderId="0" xfId="4" applyAlignment="1">
      <alignment wrapText="1"/>
    </xf>
    <xf numFmtId="0" fontId="36" fillId="0" borderId="68" xfId="4" applyBorder="1" applyAlignment="1">
      <alignment horizontal="center" vertical="center"/>
    </xf>
    <xf numFmtId="0" fontId="36" fillId="0" borderId="4" xfId="4" applyBorder="1" applyAlignment="1">
      <alignment horizontal="center" vertical="center"/>
    </xf>
    <xf numFmtId="0" fontId="36" fillId="0" borderId="4" xfId="4" applyBorder="1" applyAlignment="1">
      <alignment horizontal="center"/>
    </xf>
    <xf numFmtId="0" fontId="36" fillId="2" borderId="0" xfId="4" applyFill="1" applyAlignment="1">
      <alignment vertical="center"/>
    </xf>
    <xf numFmtId="0" fontId="36" fillId="0" borderId="60" xfId="4" applyBorder="1" applyAlignment="1">
      <alignment horizontal="center"/>
    </xf>
    <xf numFmtId="0" fontId="56" fillId="17" borderId="0" xfId="4" applyFont="1" applyFill="1"/>
    <xf numFmtId="0" fontId="57" fillId="17" borderId="0" xfId="4" applyFont="1" applyFill="1" applyAlignment="1">
      <alignment horizontal="center"/>
    </xf>
    <xf numFmtId="0" fontId="36" fillId="14" borderId="0" xfId="4" applyFill="1" applyAlignment="1">
      <alignment vertical="center"/>
    </xf>
    <xf numFmtId="0" fontId="36" fillId="18" borderId="55" xfId="4" applyFill="1" applyBorder="1" applyAlignment="1">
      <alignment horizontal="left"/>
    </xf>
    <xf numFmtId="0" fontId="36" fillId="18" borderId="10" xfId="4" applyFill="1" applyBorder="1" applyAlignment="1">
      <alignment horizontal="left"/>
    </xf>
    <xf numFmtId="10" fontId="36" fillId="18" borderId="10" xfId="4" applyNumberFormat="1" applyFill="1" applyBorder="1" applyAlignment="1">
      <alignment horizontal="center"/>
    </xf>
    <xf numFmtId="0" fontId="36" fillId="18" borderId="56" xfId="4" applyFill="1" applyBorder="1" applyAlignment="1">
      <alignment horizontal="left"/>
    </xf>
    <xf numFmtId="0" fontId="36" fillId="18" borderId="1" xfId="4" applyFill="1" applyBorder="1" applyAlignment="1">
      <alignment horizontal="left"/>
    </xf>
    <xf numFmtId="0" fontId="36" fillId="18" borderId="12" xfId="4" applyFill="1" applyBorder="1" applyAlignment="1">
      <alignment horizontal="left"/>
    </xf>
    <xf numFmtId="10" fontId="36" fillId="18" borderId="12" xfId="4" applyNumberFormat="1" applyFill="1" applyBorder="1" applyAlignment="1">
      <alignment horizontal="center"/>
    </xf>
    <xf numFmtId="0" fontId="36" fillId="18" borderId="2" xfId="4" applyFill="1" applyBorder="1" applyAlignment="1">
      <alignment horizontal="left"/>
    </xf>
    <xf numFmtId="0" fontId="36" fillId="18" borderId="11" xfId="4" applyFill="1" applyBorder="1" applyAlignment="1">
      <alignment horizontal="left"/>
    </xf>
    <xf numFmtId="0" fontId="36" fillId="18" borderId="0" xfId="4" applyFill="1" applyAlignment="1">
      <alignment horizontal="left"/>
    </xf>
    <xf numFmtId="0" fontId="36" fillId="18" borderId="0" xfId="4" applyFill="1" applyAlignment="1">
      <alignment horizontal="center"/>
    </xf>
    <xf numFmtId="0" fontId="36" fillId="18" borderId="57" xfId="4" applyFill="1" applyBorder="1" applyAlignment="1">
      <alignment horizontal="left"/>
    </xf>
    <xf numFmtId="0" fontId="36" fillId="18" borderId="69" xfId="4" applyFill="1" applyBorder="1" applyAlignment="1">
      <alignment horizontal="left" wrapText="1"/>
    </xf>
    <xf numFmtId="0" fontId="36" fillId="18" borderId="70" xfId="4" applyFill="1" applyBorder="1" applyAlignment="1">
      <alignment horizontal="left" wrapText="1"/>
    </xf>
    <xf numFmtId="0" fontId="36" fillId="18" borderId="71" xfId="4" applyFill="1" applyBorder="1" applyAlignment="1">
      <alignment wrapText="1"/>
    </xf>
    <xf numFmtId="0" fontId="36" fillId="18" borderId="72" xfId="4" applyFill="1" applyBorder="1" applyAlignment="1">
      <alignment wrapText="1"/>
    </xf>
    <xf numFmtId="0" fontId="36" fillId="18" borderId="58" xfId="4" applyFill="1" applyBorder="1" applyAlignment="1">
      <alignment horizontal="left" wrapText="1"/>
    </xf>
    <xf numFmtId="0" fontId="36" fillId="18" borderId="20" xfId="4" applyFill="1" applyBorder="1" applyAlignment="1">
      <alignment horizontal="left" wrapText="1"/>
    </xf>
    <xf numFmtId="0" fontId="36" fillId="18" borderId="59" xfId="4" applyFill="1" applyBorder="1" applyAlignment="1">
      <alignment wrapText="1"/>
    </xf>
    <xf numFmtId="0" fontId="36" fillId="18" borderId="73" xfId="4" applyFill="1" applyBorder="1" applyAlignment="1">
      <alignment wrapText="1"/>
    </xf>
    <xf numFmtId="0" fontId="36" fillId="18" borderId="74" xfId="4" applyFill="1" applyBorder="1" applyAlignment="1">
      <alignment horizontal="left" wrapText="1"/>
    </xf>
    <xf numFmtId="0" fontId="36" fillId="18" borderId="75" xfId="4" applyFill="1" applyBorder="1" applyAlignment="1">
      <alignment horizontal="left" wrapText="1"/>
    </xf>
    <xf numFmtId="0" fontId="36" fillId="18" borderId="76" xfId="4" applyFill="1" applyBorder="1" applyAlignment="1">
      <alignment wrapText="1"/>
    </xf>
    <xf numFmtId="0" fontId="36" fillId="18" borderId="77" xfId="4" applyFill="1" applyBorder="1" applyAlignment="1">
      <alignment wrapText="1"/>
    </xf>
    <xf numFmtId="0" fontId="36" fillId="18" borderId="10" xfId="4" applyFill="1" applyBorder="1" applyAlignment="1">
      <alignment horizontal="center"/>
    </xf>
    <xf numFmtId="0" fontId="36" fillId="18" borderId="56" xfId="4" applyFill="1" applyBorder="1"/>
    <xf numFmtId="9" fontId="0" fillId="18" borderId="6" xfId="6" applyFont="1" applyFill="1" applyBorder="1" applyAlignment="1">
      <alignment horizontal="center"/>
    </xf>
    <xf numFmtId="0" fontId="36" fillId="18" borderId="5" xfId="4" applyFill="1" applyBorder="1"/>
    <xf numFmtId="0" fontId="36" fillId="18" borderId="12" xfId="4" applyFill="1" applyBorder="1" applyAlignment="1">
      <alignment horizontal="center"/>
    </xf>
    <xf numFmtId="0" fontId="36" fillId="18" borderId="3" xfId="4" applyFill="1" applyBorder="1" applyAlignment="1">
      <alignment horizontal="left"/>
    </xf>
    <xf numFmtId="0" fontId="36" fillId="18" borderId="6" xfId="4" applyFill="1" applyBorder="1" applyAlignment="1">
      <alignment horizontal="left"/>
    </xf>
    <xf numFmtId="0" fontId="36" fillId="18" borderId="6" xfId="4" applyFill="1" applyBorder="1" applyAlignment="1">
      <alignment horizontal="center"/>
    </xf>
    <xf numFmtId="0" fontId="54" fillId="19" borderId="0" xfId="4" applyFont="1" applyFill="1"/>
    <xf numFmtId="0" fontId="55" fillId="20" borderId="3" xfId="4" applyFont="1" applyFill="1" applyBorder="1" applyAlignment="1">
      <alignment horizontal="left"/>
    </xf>
    <xf numFmtId="0" fontId="55" fillId="20" borderId="6" xfId="4" applyFont="1" applyFill="1" applyBorder="1" applyAlignment="1">
      <alignment horizontal="center"/>
    </xf>
    <xf numFmtId="0" fontId="55" fillId="20" borderId="5" xfId="4" applyFont="1" applyFill="1" applyBorder="1" applyAlignment="1">
      <alignment horizontal="center"/>
    </xf>
    <xf numFmtId="0" fontId="55" fillId="20" borderId="4" xfId="4" applyFont="1" applyFill="1" applyBorder="1" applyAlignment="1">
      <alignment horizontal="center" vertical="center" wrapText="1"/>
    </xf>
    <xf numFmtId="0" fontId="55" fillId="20" borderId="3" xfId="4" applyFont="1" applyFill="1" applyBorder="1" applyAlignment="1">
      <alignment horizontal="left" vertical="center"/>
    </xf>
    <xf numFmtId="0" fontId="55" fillId="20" borderId="0" xfId="4" applyFont="1" applyFill="1" applyAlignment="1">
      <alignment horizontal="center" vertical="center" wrapText="1"/>
    </xf>
    <xf numFmtId="0" fontId="36" fillId="18" borderId="75" xfId="4" applyFill="1" applyBorder="1" applyAlignment="1">
      <alignment horizontal="center"/>
    </xf>
    <xf numFmtId="0" fontId="36" fillId="18" borderId="80" xfId="4" applyFill="1" applyBorder="1"/>
    <xf numFmtId="0" fontId="36" fillId="18" borderId="79" xfId="4" applyFill="1" applyBorder="1" applyAlignment="1">
      <alignment horizontal="center"/>
    </xf>
    <xf numFmtId="0" fontId="36" fillId="18" borderId="72" xfId="4" applyFill="1" applyBorder="1"/>
    <xf numFmtId="0" fontId="36" fillId="18" borderId="82" xfId="4" applyFill="1" applyBorder="1" applyAlignment="1">
      <alignment horizontal="center"/>
    </xf>
    <xf numFmtId="0" fontId="36" fillId="18" borderId="77" xfId="4" applyFill="1" applyBorder="1"/>
    <xf numFmtId="0" fontId="36" fillId="16" borderId="20" xfId="4" applyFill="1" applyBorder="1"/>
    <xf numFmtId="0" fontId="36" fillId="16" borderId="67" xfId="4" applyFill="1" applyBorder="1"/>
    <xf numFmtId="0" fontId="52" fillId="7" borderId="54" xfId="0" applyFont="1" applyFill="1" applyBorder="1" applyAlignment="1">
      <alignment horizontal="center" vertical="center"/>
    </xf>
    <xf numFmtId="181" fontId="52" fillId="7" borderId="54" xfId="0" applyNumberFormat="1" applyFont="1" applyFill="1" applyBorder="1" applyAlignment="1">
      <alignment horizontal="center" vertical="center"/>
    </xf>
    <xf numFmtId="0" fontId="41" fillId="22" borderId="21" xfId="0" applyFont="1" applyFill="1" applyBorder="1" applyAlignment="1">
      <alignment vertical="center"/>
    </xf>
    <xf numFmtId="0" fontId="0" fillId="22" borderId="54" xfId="0" applyFill="1" applyBorder="1" applyAlignment="1">
      <alignment horizontal="center" vertical="center"/>
    </xf>
    <xf numFmtId="0" fontId="0" fillId="22" borderId="0" xfId="0" applyFill="1"/>
    <xf numFmtId="0" fontId="37" fillId="0" borderId="0" xfId="0" applyFont="1" applyAlignment="1">
      <alignment horizontal="left" vertical="top"/>
    </xf>
    <xf numFmtId="0" fontId="24" fillId="15" borderId="83" xfId="0" applyFont="1" applyFill="1" applyBorder="1" applyAlignment="1">
      <alignment horizontal="center" vertical="center"/>
    </xf>
    <xf numFmtId="0" fontId="0" fillId="22" borderId="21" xfId="0" applyFill="1" applyBorder="1"/>
    <xf numFmtId="0" fontId="24" fillId="15" borderId="84" xfId="0" applyFont="1" applyFill="1" applyBorder="1" applyAlignment="1">
      <alignment horizontal="center" vertical="center"/>
    </xf>
    <xf numFmtId="0" fontId="24" fillId="15" borderId="21" xfId="0" applyFont="1" applyFill="1" applyBorder="1" applyAlignment="1">
      <alignment horizontal="left" vertical="center"/>
    </xf>
    <xf numFmtId="0" fontId="0" fillId="15" borderId="21" xfId="0" applyFill="1" applyBorder="1"/>
    <xf numFmtId="0" fontId="0" fillId="6" borderId="21" xfId="0" applyFill="1" applyBorder="1"/>
    <xf numFmtId="0" fontId="51" fillId="2" borderId="85" xfId="0" applyFont="1" applyFill="1" applyBorder="1" applyAlignment="1">
      <alignment horizontal="center" vertical="center" wrapText="1"/>
    </xf>
    <xf numFmtId="180" fontId="51" fillId="2" borderId="85" xfId="0" quotePrefix="1" applyNumberFormat="1" applyFont="1" applyFill="1" applyBorder="1" applyAlignment="1">
      <alignment horizontal="center" vertical="center"/>
    </xf>
    <xf numFmtId="0" fontId="51" fillId="2" borderId="85" xfId="0" quotePrefix="1" applyFont="1" applyFill="1" applyBorder="1" applyAlignment="1">
      <alignment horizontal="center" vertical="center"/>
    </xf>
    <xf numFmtId="0" fontId="51" fillId="2" borderId="85" xfId="0" quotePrefix="1" applyFont="1" applyFill="1" applyBorder="1" applyAlignment="1">
      <alignment horizontal="left" vertical="center"/>
    </xf>
    <xf numFmtId="0" fontId="0" fillId="2" borderId="85" xfId="0" applyFill="1" applyBorder="1" applyAlignment="1">
      <alignment horizontal="center" vertical="center"/>
    </xf>
    <xf numFmtId="182" fontId="51" fillId="2" borderId="85" xfId="0" applyNumberFormat="1" applyFont="1" applyFill="1" applyBorder="1" applyAlignment="1">
      <alignment horizontal="center" vertical="center"/>
    </xf>
    <xf numFmtId="0" fontId="0" fillId="2" borderId="85" xfId="0" applyFill="1" applyBorder="1"/>
    <xf numFmtId="0" fontId="61" fillId="2" borderId="85" xfId="0" applyFont="1" applyFill="1" applyBorder="1" applyAlignment="1">
      <alignment horizontal="center" vertical="center"/>
    </xf>
    <xf numFmtId="181" fontId="52" fillId="2" borderId="85" xfId="0" applyNumberFormat="1" applyFont="1" applyFill="1" applyBorder="1" applyAlignment="1">
      <alignment horizontal="center" vertical="center"/>
    </xf>
    <xf numFmtId="0" fontId="34" fillId="26" borderId="9" xfId="0" applyFont="1" applyFill="1" applyBorder="1" applyAlignment="1">
      <alignment horizontal="center" vertical="center" wrapText="1"/>
    </xf>
    <xf numFmtId="0" fontId="0" fillId="2" borderId="0" xfId="0" applyFill="1" applyAlignment="1">
      <alignment horizontal="center"/>
    </xf>
    <xf numFmtId="0" fontId="67" fillId="26" borderId="9" xfId="0" applyFont="1" applyFill="1" applyBorder="1" applyAlignment="1">
      <alignment horizontal="center" vertical="center" wrapText="1"/>
    </xf>
    <xf numFmtId="0" fontId="26" fillId="26" borderId="9" xfId="0" applyFont="1" applyFill="1" applyBorder="1" applyAlignment="1">
      <alignment horizontal="center" vertical="center" wrapText="1"/>
    </xf>
    <xf numFmtId="17" fontId="68" fillId="25" borderId="0" xfId="0" applyNumberFormat="1" applyFont="1" applyFill="1" applyAlignment="1">
      <alignment horizontal="center" vertical="center" wrapText="1"/>
    </xf>
    <xf numFmtId="0" fontId="63" fillId="26" borderId="9" xfId="0" applyFont="1" applyFill="1" applyBorder="1" applyAlignment="1">
      <alignment horizontal="center" vertical="center" wrapText="1"/>
    </xf>
    <xf numFmtId="0" fontId="66" fillId="2" borderId="0" xfId="0" applyFont="1" applyFill="1" applyAlignment="1">
      <alignment vertical="center"/>
    </xf>
    <xf numFmtId="0" fontId="66" fillId="2" borderId="112" xfId="0" applyFont="1" applyFill="1" applyBorder="1"/>
    <xf numFmtId="0" fontId="66" fillId="2" borderId="108" xfId="0" applyFont="1" applyFill="1" applyBorder="1"/>
    <xf numFmtId="0" fontId="66" fillId="2" borderId="109" xfId="0" applyFont="1" applyFill="1" applyBorder="1"/>
    <xf numFmtId="0" fontId="67" fillId="26" borderId="129" xfId="0" applyFont="1" applyFill="1" applyBorder="1" applyAlignment="1">
      <alignment horizontal="center" vertical="center" wrapText="1"/>
    </xf>
    <xf numFmtId="0" fontId="0" fillId="2" borderId="118" xfId="0" applyFill="1" applyBorder="1"/>
    <xf numFmtId="0" fontId="67" fillId="26" borderId="130" xfId="0" applyFont="1" applyFill="1" applyBorder="1" applyAlignment="1">
      <alignment horizontal="center" vertical="center" wrapText="1"/>
    </xf>
    <xf numFmtId="0" fontId="34" fillId="26" borderId="129" xfId="0" applyFont="1" applyFill="1" applyBorder="1" applyAlignment="1">
      <alignment horizontal="center" vertical="center" wrapText="1"/>
    </xf>
    <xf numFmtId="0" fontId="33" fillId="2" borderId="111" xfId="0" applyFont="1" applyFill="1" applyBorder="1"/>
    <xf numFmtId="0" fontId="0" fillId="0" borderId="114" xfId="0" applyBorder="1"/>
    <xf numFmtId="2" fontId="67" fillId="26" borderId="134" xfId="0" applyNumberFormat="1" applyFont="1" applyFill="1" applyBorder="1" applyAlignment="1">
      <alignment horizontal="center" vertical="center" wrapText="1"/>
    </xf>
    <xf numFmtId="0" fontId="0" fillId="2" borderId="115" xfId="0" applyFill="1" applyBorder="1"/>
    <xf numFmtId="2" fontId="30" fillId="27" borderId="9" xfId="0" applyNumberFormat="1" applyFont="1" applyFill="1" applyBorder="1" applyAlignment="1">
      <alignment horizontal="center" vertical="center" wrapText="1"/>
    </xf>
    <xf numFmtId="2" fontId="30" fillId="27" borderId="129" xfId="0" applyNumberFormat="1" applyFont="1" applyFill="1" applyBorder="1" applyAlignment="1">
      <alignment horizontal="center" vertical="center" wrapText="1"/>
    </xf>
    <xf numFmtId="0" fontId="60" fillId="2" borderId="0" xfId="0" applyFont="1" applyFill="1"/>
    <xf numFmtId="0" fontId="2" fillId="2" borderId="0" xfId="0" applyFont="1" applyFill="1"/>
    <xf numFmtId="0" fontId="24" fillId="6" borderId="54" xfId="0" applyFont="1" applyFill="1" applyBorder="1" applyAlignment="1">
      <alignment horizontal="right" vertical="center"/>
    </xf>
    <xf numFmtId="0" fontId="24" fillId="15" borderId="0" xfId="0" applyFont="1" applyFill="1" applyAlignment="1">
      <alignment horizontal="center" vertical="center"/>
    </xf>
    <xf numFmtId="0" fontId="24" fillId="15" borderId="0" xfId="0" applyFont="1" applyFill="1" applyAlignment="1">
      <alignment horizontal="center" vertical="center" wrapText="1"/>
    </xf>
    <xf numFmtId="0" fontId="0" fillId="15" borderId="0" xfId="0" applyFill="1"/>
    <xf numFmtId="0" fontId="0" fillId="16" borderId="92" xfId="0" applyFill="1" applyBorder="1"/>
    <xf numFmtId="0" fontId="0" fillId="16" borderId="96" xfId="0" applyFill="1" applyBorder="1"/>
    <xf numFmtId="0" fontId="0" fillId="16" borderId="138" xfId="0" applyFill="1" applyBorder="1"/>
    <xf numFmtId="0" fontId="0" fillId="16" borderId="144" xfId="0" applyFill="1" applyBorder="1"/>
    <xf numFmtId="0" fontId="0" fillId="6" borderId="91" xfId="0" applyFill="1" applyBorder="1"/>
    <xf numFmtId="0" fontId="0" fillId="2" borderId="145" xfId="0" applyFill="1" applyBorder="1"/>
    <xf numFmtId="0" fontId="0" fillId="13" borderId="146" xfId="0" applyFill="1" applyBorder="1"/>
    <xf numFmtId="0" fontId="64" fillId="16" borderId="137" xfId="0" applyFont="1" applyFill="1" applyBorder="1"/>
    <xf numFmtId="0" fontId="71" fillId="16" borderId="92" xfId="0" applyFont="1" applyFill="1" applyBorder="1"/>
    <xf numFmtId="0" fontId="72" fillId="2" borderId="86" xfId="0" applyFont="1" applyFill="1" applyBorder="1"/>
    <xf numFmtId="0" fontId="0" fillId="23" borderId="92" xfId="0" quotePrefix="1" applyFill="1" applyBorder="1"/>
    <xf numFmtId="0" fontId="77" fillId="19" borderId="0" xfId="4" applyFont="1" applyFill="1"/>
    <xf numFmtId="0" fontId="78" fillId="0" borderId="0" xfId="4" applyFont="1"/>
    <xf numFmtId="0" fontId="74" fillId="16" borderId="147" xfId="0" applyFont="1" applyFill="1" applyBorder="1"/>
    <xf numFmtId="0" fontId="48" fillId="16" borderId="147" xfId="0" applyFont="1" applyFill="1" applyBorder="1"/>
    <xf numFmtId="182" fontId="84" fillId="2" borderId="85" xfId="0" applyNumberFormat="1" applyFont="1" applyFill="1" applyBorder="1" applyAlignment="1">
      <alignment horizontal="center" vertical="center"/>
    </xf>
    <xf numFmtId="0" fontId="37" fillId="29" borderId="172" xfId="0" applyFont="1" applyFill="1" applyBorder="1" applyAlignment="1">
      <alignment horizontal="left" vertical="top"/>
    </xf>
    <xf numFmtId="0" fontId="37" fillId="30" borderId="172" xfId="0" applyFont="1" applyFill="1" applyBorder="1" applyAlignment="1">
      <alignment horizontal="left" vertical="top"/>
    </xf>
    <xf numFmtId="0" fontId="41" fillId="0" borderId="172" xfId="0" applyFont="1" applyBorder="1" applyAlignment="1">
      <alignment horizontal="left" vertical="top"/>
    </xf>
    <xf numFmtId="0" fontId="41" fillId="30" borderId="172" xfId="0" applyFont="1" applyFill="1" applyBorder="1" applyAlignment="1">
      <alignment horizontal="left" vertical="top"/>
    </xf>
    <xf numFmtId="0" fontId="26" fillId="26" borderId="186" xfId="0" applyFont="1" applyFill="1" applyBorder="1" applyAlignment="1">
      <alignment horizontal="center" vertical="center" wrapText="1"/>
    </xf>
    <xf numFmtId="0" fontId="65" fillId="2" borderId="187" xfId="0" applyFont="1" applyFill="1" applyBorder="1"/>
    <xf numFmtId="0" fontId="86" fillId="0" borderId="188" xfId="0" applyFont="1" applyBorder="1"/>
    <xf numFmtId="0" fontId="65" fillId="2" borderId="188" xfId="0" applyFont="1" applyFill="1" applyBorder="1"/>
    <xf numFmtId="185" fontId="65" fillId="2" borderId="189" xfId="7" applyNumberFormat="1" applyFont="1" applyFill="1" applyBorder="1"/>
    <xf numFmtId="0" fontId="32" fillId="16" borderId="92" xfId="0" applyFont="1" applyFill="1" applyBorder="1"/>
    <xf numFmtId="0" fontId="4" fillId="2" borderId="0" xfId="0" applyFont="1" applyFill="1" applyProtection="1">
      <protection locked="0"/>
    </xf>
    <xf numFmtId="0" fontId="40" fillId="13" borderId="21" xfId="0" applyFont="1" applyFill="1" applyBorder="1" applyAlignment="1" applyProtection="1">
      <alignment vertical="center"/>
      <protection locked="0"/>
    </xf>
    <xf numFmtId="0" fontId="40" fillId="13" borderId="27" xfId="0" applyFont="1" applyFill="1" applyBorder="1" applyAlignment="1" applyProtection="1">
      <alignment vertical="center"/>
      <protection locked="0"/>
    </xf>
    <xf numFmtId="0" fontId="41" fillId="0" borderId="27" xfId="0" applyFont="1" applyBorder="1" applyProtection="1">
      <protection locked="0"/>
    </xf>
    <xf numFmtId="0" fontId="41" fillId="0" borderId="21" xfId="0" applyFont="1" applyBorder="1" applyProtection="1">
      <protection locked="0"/>
    </xf>
    <xf numFmtId="0" fontId="16" fillId="13" borderId="21" xfId="0" applyFont="1" applyFill="1" applyBorder="1" applyAlignment="1" applyProtection="1">
      <alignment horizontal="center" vertical="center"/>
      <protection locked="0"/>
    </xf>
    <xf numFmtId="0" fontId="16" fillId="13" borderId="22" xfId="0" applyFont="1" applyFill="1" applyBorder="1" applyAlignment="1" applyProtection="1">
      <alignment horizontal="center" vertical="center"/>
      <protection locked="0"/>
    </xf>
    <xf numFmtId="0" fontId="41" fillId="0" borderId="22" xfId="0" applyFont="1" applyBorder="1" applyProtection="1">
      <protection locked="0"/>
    </xf>
    <xf numFmtId="0" fontId="4" fillId="0" borderId="48"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1" fillId="0" borderId="21"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178" fontId="40" fillId="6" borderId="21" xfId="0" applyNumberFormat="1" applyFont="1" applyFill="1" applyBorder="1" applyAlignment="1" applyProtection="1">
      <alignment horizontal="right" vertical="center" wrapText="1"/>
      <protection locked="0"/>
    </xf>
    <xf numFmtId="172" fontId="40" fillId="0" borderId="21" xfId="0" applyNumberFormat="1" applyFont="1" applyBorder="1" applyProtection="1">
      <protection locked="0"/>
    </xf>
    <xf numFmtId="172" fontId="40" fillId="0" borderId="33" xfId="0" applyNumberFormat="1" applyFont="1" applyBorder="1" applyProtection="1">
      <protection locked="0"/>
    </xf>
    <xf numFmtId="172" fontId="40" fillId="0" borderId="48" xfId="0" applyNumberFormat="1" applyFont="1" applyBorder="1" applyProtection="1">
      <protection locked="0"/>
    </xf>
    <xf numFmtId="0" fontId="40" fillId="13" borderId="21" xfId="0" applyFont="1" applyFill="1" applyBorder="1" applyAlignment="1" applyProtection="1">
      <alignment horizontal="right" vertical="center" wrapText="1"/>
      <protection locked="0"/>
    </xf>
    <xf numFmtId="0" fontId="40" fillId="13" borderId="21" xfId="0" applyFont="1" applyFill="1" applyBorder="1" applyAlignment="1" applyProtection="1">
      <alignment horizontal="justify" vertical="center" wrapText="1"/>
      <protection locked="0"/>
    </xf>
    <xf numFmtId="0" fontId="40" fillId="13" borderId="33" xfId="0" applyFont="1" applyFill="1" applyBorder="1" applyAlignment="1" applyProtection="1">
      <alignment horizontal="justify" vertical="center" wrapText="1"/>
      <protection locked="0"/>
    </xf>
    <xf numFmtId="0" fontId="40" fillId="13" borderId="48" xfId="0" applyFont="1" applyFill="1" applyBorder="1" applyAlignment="1" applyProtection="1">
      <alignment horizontal="justify" vertical="center" wrapText="1"/>
      <protection locked="0"/>
    </xf>
    <xf numFmtId="0" fontId="40" fillId="13" borderId="22" xfId="0" applyFont="1" applyFill="1" applyBorder="1" applyAlignment="1" applyProtection="1">
      <alignment horizontal="right" vertical="center" wrapText="1"/>
      <protection locked="0"/>
    </xf>
    <xf numFmtId="0" fontId="40" fillId="13" borderId="22" xfId="0" applyFont="1" applyFill="1" applyBorder="1" applyAlignment="1" applyProtection="1">
      <alignment horizontal="justify" vertical="center" wrapText="1"/>
      <protection locked="0"/>
    </xf>
    <xf numFmtId="0" fontId="40" fillId="13" borderId="44" xfId="0" applyFont="1" applyFill="1" applyBorder="1" applyAlignment="1" applyProtection="1">
      <alignment horizontal="justify" vertical="center" wrapText="1"/>
      <protection locked="0"/>
    </xf>
    <xf numFmtId="0" fontId="4" fillId="13" borderId="161" xfId="0" applyFont="1" applyFill="1" applyBorder="1" applyAlignment="1" applyProtection="1">
      <alignment horizontal="center" vertical="center"/>
      <protection locked="0"/>
    </xf>
    <xf numFmtId="0" fontId="40" fillId="13" borderId="21" xfId="0" applyFont="1" applyFill="1" applyBorder="1" applyAlignment="1" applyProtection="1">
      <alignment horizontal="left" vertical="center" wrapText="1"/>
      <protection locked="0"/>
    </xf>
    <xf numFmtId="0" fontId="40" fillId="13" borderId="33" xfId="0" applyFont="1" applyFill="1" applyBorder="1" applyAlignment="1" applyProtection="1">
      <alignment horizontal="left" vertical="center" wrapText="1"/>
      <protection locked="0"/>
    </xf>
    <xf numFmtId="0" fontId="40" fillId="13" borderId="48" xfId="0" applyFont="1" applyFill="1" applyBorder="1" applyAlignment="1" applyProtection="1">
      <alignment horizontal="left" vertical="center" wrapText="1"/>
      <protection locked="0"/>
    </xf>
    <xf numFmtId="9" fontId="24" fillId="0" borderId="21" xfId="0" applyNumberFormat="1" applyFont="1" applyBorder="1" applyAlignment="1" applyProtection="1">
      <alignment horizontal="center"/>
      <protection locked="0"/>
    </xf>
    <xf numFmtId="17" fontId="40" fillId="13" borderId="21" xfId="0" applyNumberFormat="1" applyFont="1" applyFill="1" applyBorder="1" applyProtection="1">
      <protection locked="0"/>
    </xf>
    <xf numFmtId="184" fontId="40" fillId="2" borderId="21" xfId="0" applyNumberFormat="1" applyFont="1" applyFill="1" applyBorder="1" applyAlignment="1" applyProtection="1">
      <alignment horizontal="right"/>
      <protection locked="0"/>
    </xf>
    <xf numFmtId="165" fontId="40" fillId="2" borderId="21" xfId="0" applyNumberFormat="1" applyFont="1" applyFill="1" applyBorder="1" applyProtection="1">
      <protection locked="0"/>
    </xf>
    <xf numFmtId="165" fontId="40" fillId="2" borderId="21" xfId="0" applyNumberFormat="1" applyFont="1" applyFill="1" applyBorder="1" applyAlignment="1" applyProtection="1">
      <alignment vertical="center"/>
      <protection locked="0"/>
    </xf>
    <xf numFmtId="0" fontId="40" fillId="2" borderId="21" xfId="0" applyFont="1" applyFill="1" applyBorder="1" applyAlignment="1" applyProtection="1">
      <alignment vertical="center"/>
      <protection locked="0"/>
    </xf>
    <xf numFmtId="178" fontId="40" fillId="2" borderId="21" xfId="0" applyNumberFormat="1" applyFont="1" applyFill="1" applyBorder="1" applyAlignment="1" applyProtection="1">
      <alignment vertical="center"/>
      <protection locked="0"/>
    </xf>
    <xf numFmtId="184" fontId="40" fillId="2" borderId="21" xfId="0" applyNumberFormat="1" applyFont="1" applyFill="1" applyBorder="1" applyAlignment="1" applyProtection="1">
      <alignment vertical="center"/>
      <protection locked="0"/>
    </xf>
    <xf numFmtId="184" fontId="40" fillId="2" borderId="23" xfId="0" applyNumberFormat="1" applyFont="1" applyFill="1" applyBorder="1" applyAlignment="1" applyProtection="1">
      <alignment vertical="center"/>
      <protection locked="0"/>
    </xf>
    <xf numFmtId="0" fontId="63" fillId="13" borderId="27" xfId="0" applyFont="1" applyFill="1" applyBorder="1" applyAlignment="1" applyProtection="1">
      <alignment horizontal="left" vertical="center"/>
      <protection locked="0"/>
    </xf>
    <xf numFmtId="0" fontId="63" fillId="13" borderId="27" xfId="0" applyFont="1" applyFill="1" applyBorder="1" applyAlignment="1" applyProtection="1">
      <alignment horizontal="center" vertical="center"/>
      <protection locked="0"/>
    </xf>
    <xf numFmtId="9" fontId="32" fillId="6" borderId="24" xfId="3" applyFont="1" applyFill="1" applyBorder="1" applyAlignment="1" applyProtection="1">
      <alignment horizontal="left" vertical="center"/>
    </xf>
    <xf numFmtId="9" fontId="85" fillId="6" borderId="24" xfId="3" applyFont="1" applyFill="1" applyBorder="1" applyAlignment="1" applyProtection="1">
      <alignment horizontal="left" vertical="center"/>
    </xf>
    <xf numFmtId="9" fontId="30" fillId="6" borderId="0" xfId="3" applyFont="1" applyFill="1" applyBorder="1" applyAlignment="1" applyProtection="1">
      <alignment horizontal="left" vertical="center"/>
    </xf>
    <xf numFmtId="1" fontId="34" fillId="25" borderId="9" xfId="0" applyNumberFormat="1" applyFont="1" applyFill="1" applyBorder="1" applyAlignment="1">
      <alignment horizontal="center" vertical="center" wrapText="1"/>
    </xf>
    <xf numFmtId="0" fontId="4" fillId="2" borderId="0" xfId="0" applyFont="1" applyFill="1"/>
    <xf numFmtId="0" fontId="4" fillId="2" borderId="52" xfId="0" applyFont="1" applyFill="1" applyBorder="1"/>
    <xf numFmtId="44" fontId="40" fillId="6" borderId="150" xfId="7" applyFont="1" applyFill="1" applyBorder="1" applyAlignment="1" applyProtection="1">
      <alignment horizontal="center" vertical="center" wrapText="1"/>
    </xf>
    <xf numFmtId="0" fontId="25" fillId="16" borderId="0" xfId="2" applyFont="1" applyFill="1" applyBorder="1" applyAlignment="1" applyProtection="1">
      <alignment horizontal="center" vertical="center" wrapText="1"/>
    </xf>
    <xf numFmtId="9" fontId="40" fillId="6" borderId="21" xfId="3" applyFont="1" applyFill="1" applyBorder="1" applyAlignment="1" applyProtection="1">
      <alignment vertical="center"/>
    </xf>
    <xf numFmtId="185" fontId="0" fillId="2" borderId="0" xfId="7" applyNumberFormat="1" applyFont="1" applyFill="1" applyBorder="1" applyAlignment="1" applyProtection="1">
      <alignment horizontal="left" vertical="top" wrapText="1"/>
    </xf>
    <xf numFmtId="0" fontId="24" fillId="2" borderId="0" xfId="0" applyFont="1" applyFill="1"/>
    <xf numFmtId="0" fontId="14" fillId="0" borderId="0" xfId="0" applyFont="1"/>
    <xf numFmtId="0" fontId="41" fillId="0" borderId="211" xfId="0" applyFont="1" applyBorder="1" applyProtection="1">
      <protection locked="0"/>
    </xf>
    <xf numFmtId="0" fontId="41" fillId="0" borderId="202" xfId="0" applyFont="1" applyBorder="1" applyProtection="1">
      <protection locked="0"/>
    </xf>
    <xf numFmtId="0" fontId="41" fillId="0" borderId="203" xfId="0" applyFont="1" applyBorder="1" applyProtection="1">
      <protection locked="0"/>
    </xf>
    <xf numFmtId="0" fontId="41" fillId="0" borderId="212" xfId="0" applyFont="1" applyBorder="1" applyProtection="1">
      <protection locked="0"/>
    </xf>
    <xf numFmtId="0" fontId="16" fillId="13" borderId="0" xfId="0" applyFont="1" applyFill="1" applyAlignment="1" applyProtection="1">
      <alignment horizontal="center" vertical="center"/>
      <protection locked="0"/>
    </xf>
    <xf numFmtId="0" fontId="40" fillId="0" borderId="21" xfId="0" applyFont="1" applyBorder="1" applyAlignment="1" applyProtection="1">
      <alignment horizontal="right" vertical="center" wrapText="1"/>
      <protection locked="0"/>
    </xf>
    <xf numFmtId="0" fontId="40" fillId="0" borderId="33" xfId="0" applyFont="1" applyBorder="1" applyAlignment="1" applyProtection="1">
      <alignment horizontal="right" vertical="center" wrapText="1"/>
      <protection locked="0"/>
    </xf>
    <xf numFmtId="0" fontId="40" fillId="0" borderId="48" xfId="0" applyFont="1" applyBorder="1" applyAlignment="1" applyProtection="1">
      <alignment horizontal="right" vertical="center" wrapText="1"/>
      <protection locked="0"/>
    </xf>
    <xf numFmtId="0" fontId="40" fillId="0" borderId="22" xfId="0" applyFont="1" applyBorder="1" applyAlignment="1" applyProtection="1">
      <alignment horizontal="right" vertical="center" wrapText="1"/>
      <protection locked="0"/>
    </xf>
    <xf numFmtId="0" fontId="40" fillId="0" borderId="44" xfId="0" applyFont="1" applyBorder="1" applyAlignment="1" applyProtection="1">
      <alignment horizontal="right" vertical="center" wrapText="1"/>
      <protection locked="0"/>
    </xf>
    <xf numFmtId="0" fontId="59" fillId="2" borderId="0" xfId="0" applyFont="1" applyFill="1" applyAlignment="1">
      <alignment horizontal="center" vertical="center"/>
    </xf>
    <xf numFmtId="0" fontId="86" fillId="2" borderId="0" xfId="0" applyFont="1" applyFill="1" applyAlignment="1">
      <alignment horizontal="left"/>
    </xf>
    <xf numFmtId="0" fontId="0" fillId="2" borderId="0" xfId="0" applyFill="1" applyProtection="1">
      <protection locked="0"/>
    </xf>
    <xf numFmtId="0" fontId="99" fillId="10" borderId="101" xfId="0" applyFont="1" applyFill="1" applyBorder="1"/>
    <xf numFmtId="0" fontId="88" fillId="10" borderId="101" xfId="0" applyFont="1" applyFill="1" applyBorder="1"/>
    <xf numFmtId="0" fontId="88" fillId="10" borderId="102" xfId="0" applyFont="1" applyFill="1" applyBorder="1"/>
    <xf numFmtId="0" fontId="0" fillId="2" borderId="118" xfId="0" applyFill="1" applyBorder="1" applyProtection="1">
      <protection locked="0"/>
    </xf>
    <xf numFmtId="0" fontId="41" fillId="0" borderId="21" xfId="0" applyFont="1" applyBorder="1" applyAlignment="1" applyProtection="1">
      <alignment horizontal="center" vertical="center"/>
      <protection locked="0"/>
    </xf>
    <xf numFmtId="0" fontId="41" fillId="13" borderId="22" xfId="0" applyFont="1" applyFill="1" applyBorder="1" applyAlignment="1" applyProtection="1">
      <alignment horizontal="center" vertical="center" wrapText="1"/>
      <protection locked="0"/>
    </xf>
    <xf numFmtId="44" fontId="41" fillId="6" borderId="148" xfId="7" applyFont="1" applyFill="1" applyBorder="1" applyAlignment="1" applyProtection="1">
      <alignment horizontal="center"/>
    </xf>
    <xf numFmtId="0" fontId="0" fillId="0" borderId="21" xfId="0" applyBorder="1" applyProtection="1">
      <protection locked="0"/>
    </xf>
    <xf numFmtId="9" fontId="0" fillId="0" borderId="21" xfId="0" applyNumberFormat="1" applyBorder="1" applyProtection="1">
      <protection locked="0"/>
    </xf>
    <xf numFmtId="0" fontId="0" fillId="16" borderId="0" xfId="0" applyFill="1" applyProtection="1">
      <protection locked="0"/>
    </xf>
    <xf numFmtId="0" fontId="0" fillId="13" borderId="21" xfId="0" applyFill="1" applyBorder="1" applyAlignment="1" applyProtection="1">
      <alignment horizontal="center" vertical="center"/>
      <protection locked="0"/>
    </xf>
    <xf numFmtId="179" fontId="0" fillId="0" borderId="93" xfId="0" applyNumberFormat="1" applyBorder="1" applyAlignment="1" applyProtection="1">
      <alignment horizontal="center"/>
      <protection locked="0"/>
    </xf>
    <xf numFmtId="179" fontId="41" fillId="0" borderId="99" xfId="0" applyNumberFormat="1" applyFont="1" applyBorder="1" applyAlignment="1" applyProtection="1">
      <alignment horizontal="center"/>
      <protection locked="0"/>
    </xf>
    <xf numFmtId="179" fontId="41" fillId="0" borderId="98" xfId="0" applyNumberFormat="1" applyFont="1" applyBorder="1" applyAlignment="1" applyProtection="1">
      <alignment horizontal="center"/>
      <protection locked="0"/>
    </xf>
    <xf numFmtId="179" fontId="0" fillId="2" borderId="163" xfId="0" applyNumberFormat="1" applyFill="1" applyBorder="1" applyAlignment="1" applyProtection="1">
      <alignment horizontal="center"/>
      <protection locked="0"/>
    </xf>
    <xf numFmtId="0" fontId="24" fillId="2" borderId="1" xfId="0" applyFont="1" applyFill="1" applyBorder="1"/>
    <xf numFmtId="0" fontId="24" fillId="2" borderId="12" xfId="0" applyFont="1" applyFill="1" applyBorder="1"/>
    <xf numFmtId="0" fontId="108" fillId="2" borderId="11" xfId="0" applyFont="1" applyFill="1" applyBorder="1" applyAlignment="1">
      <alignment horizontal="right" vertical="center" wrapText="1"/>
    </xf>
    <xf numFmtId="0" fontId="92" fillId="2" borderId="0" xfId="0" applyFont="1" applyFill="1" applyAlignment="1">
      <alignment horizontal="left" vertical="center" wrapText="1"/>
    </xf>
    <xf numFmtId="0" fontId="111" fillId="2" borderId="0" xfId="0" applyFont="1" applyFill="1" applyAlignment="1">
      <alignment horizontal="left" vertical="center"/>
    </xf>
    <xf numFmtId="0" fontId="100" fillId="2" borderId="57" xfId="0" applyFont="1" applyFill="1" applyBorder="1" applyAlignment="1">
      <alignment horizontal="center" vertical="center"/>
    </xf>
    <xf numFmtId="0" fontId="92" fillId="2" borderId="11" xfId="0" applyFont="1" applyFill="1" applyBorder="1" applyAlignment="1">
      <alignment horizontal="right" vertical="center" wrapText="1"/>
    </xf>
    <xf numFmtId="0" fontId="108" fillId="2" borderId="0" xfId="0" applyFont="1" applyFill="1" applyAlignment="1">
      <alignment horizontal="left" vertical="center"/>
    </xf>
    <xf numFmtId="0" fontId="102" fillId="2" borderId="57" xfId="0" applyFont="1" applyFill="1" applyBorder="1" applyAlignment="1">
      <alignment horizontal="center" vertical="center"/>
    </xf>
    <xf numFmtId="0" fontId="110" fillId="2" borderId="0" xfId="0" applyFont="1" applyFill="1" applyAlignment="1">
      <alignment vertical="center"/>
    </xf>
    <xf numFmtId="0" fontId="100" fillId="2" borderId="0" xfId="0" applyFont="1" applyFill="1" applyAlignment="1">
      <alignment vertical="center"/>
    </xf>
    <xf numFmtId="0" fontId="92" fillId="2" borderId="0" xfId="0" applyFont="1" applyFill="1" applyAlignment="1">
      <alignment horizontal="right" vertical="center" wrapText="1"/>
    </xf>
    <xf numFmtId="1" fontId="92" fillId="2" borderId="11" xfId="0" applyNumberFormat="1" applyFont="1" applyFill="1" applyBorder="1" applyAlignment="1">
      <alignment horizontal="right" vertical="center" wrapText="1"/>
    </xf>
    <xf numFmtId="44" fontId="92" fillId="2" borderId="11" xfId="7" applyFont="1" applyFill="1" applyBorder="1" applyAlignment="1" applyProtection="1">
      <alignment horizontal="center" vertical="center" wrapText="1"/>
    </xf>
    <xf numFmtId="0" fontId="108" fillId="2" borderId="0" xfId="0" applyFont="1" applyFill="1" applyAlignment="1">
      <alignment horizontal="center" vertical="center" wrapText="1"/>
    </xf>
    <xf numFmtId="0" fontId="108" fillId="2" borderId="0" xfId="0" applyFont="1" applyFill="1" applyAlignment="1">
      <alignment horizontal="center" vertical="center"/>
    </xf>
    <xf numFmtId="0" fontId="107" fillId="2" borderId="0" xfId="0" applyFont="1" applyFill="1" applyAlignment="1">
      <alignment vertical="center"/>
    </xf>
    <xf numFmtId="0" fontId="108" fillId="2" borderId="1" xfId="0" applyFont="1" applyFill="1" applyBorder="1" applyAlignment="1">
      <alignment horizontal="center" vertical="center" wrapText="1"/>
    </xf>
    <xf numFmtId="0" fontId="108" fillId="2" borderId="12" xfId="0" applyFont="1" applyFill="1" applyBorder="1" applyAlignment="1">
      <alignment horizontal="center" vertical="center" wrapText="1"/>
    </xf>
    <xf numFmtId="0" fontId="0" fillId="0" borderId="12" xfId="0" applyBorder="1"/>
    <xf numFmtId="0" fontId="108" fillId="2" borderId="12" xfId="0" applyFont="1" applyFill="1" applyBorder="1" applyAlignment="1">
      <alignment horizontal="center" vertical="center"/>
    </xf>
    <xf numFmtId="0" fontId="100" fillId="2" borderId="2" xfId="0" applyFont="1" applyFill="1" applyBorder="1" applyAlignment="1">
      <alignment horizontal="center" vertical="center"/>
    </xf>
    <xf numFmtId="0" fontId="101" fillId="2" borderId="11" xfId="0" applyFont="1" applyFill="1" applyBorder="1" applyAlignment="1">
      <alignment horizontal="left" vertical="center"/>
    </xf>
    <xf numFmtId="0" fontId="100" fillId="2" borderId="0" xfId="0" applyFont="1" applyFill="1" applyAlignment="1">
      <alignment horizontal="center" vertical="center" wrapText="1"/>
    </xf>
    <xf numFmtId="0" fontId="100" fillId="2" borderId="10" xfId="0" applyFont="1" applyFill="1" applyBorder="1" applyAlignment="1">
      <alignment horizontal="center" vertical="center" wrapText="1"/>
    </xf>
    <xf numFmtId="0" fontId="101" fillId="2" borderId="0" xfId="0" applyFont="1" applyFill="1" applyAlignment="1">
      <alignment horizontal="left" vertical="center"/>
    </xf>
    <xf numFmtId="0" fontId="100" fillId="2" borderId="0" xfId="0" applyFont="1" applyFill="1" applyAlignment="1">
      <alignment horizontal="center" vertical="center"/>
    </xf>
    <xf numFmtId="0" fontId="100" fillId="2" borderId="56" xfId="0" applyFont="1" applyFill="1" applyBorder="1" applyAlignment="1">
      <alignment horizontal="center" vertical="center"/>
    </xf>
    <xf numFmtId="0" fontId="33" fillId="2" borderId="11" xfId="0" applyFont="1" applyFill="1" applyBorder="1"/>
    <xf numFmtId="0" fontId="107" fillId="2" borderId="0" xfId="0" applyFont="1" applyFill="1" applyAlignment="1">
      <alignment horizontal="center" vertical="center" wrapText="1"/>
    </xf>
    <xf numFmtId="9" fontId="33" fillId="2" borderId="0" xfId="0" applyNumberFormat="1" applyFont="1" applyFill="1"/>
    <xf numFmtId="0" fontId="33" fillId="2" borderId="0" xfId="0" applyFont="1" applyFill="1"/>
    <xf numFmtId="0" fontId="0" fillId="2" borderId="57" xfId="0" applyFill="1" applyBorder="1"/>
    <xf numFmtId="186" fontId="0" fillId="2" borderId="0" xfId="0" applyNumberFormat="1" applyFill="1"/>
    <xf numFmtId="10" fontId="0" fillId="0" borderId="0" xfId="3" applyNumberFormat="1" applyFont="1" applyAlignment="1" applyProtection="1"/>
    <xf numFmtId="1" fontId="33" fillId="2" borderId="0" xfId="0" applyNumberFormat="1" applyFont="1" applyFill="1"/>
    <xf numFmtId="0" fontId="24" fillId="2" borderId="12" xfId="0" applyFont="1" applyFill="1" applyBorder="1" applyAlignment="1">
      <alignment horizontal="right"/>
    </xf>
    <xf numFmtId="0" fontId="0" fillId="2" borderId="12" xfId="0" applyFill="1" applyBorder="1"/>
    <xf numFmtId="10" fontId="0" fillId="2" borderId="12" xfId="0" applyNumberFormat="1" applyFill="1" applyBorder="1"/>
    <xf numFmtId="0" fontId="0" fillId="2" borderId="2" xfId="0" applyFill="1" applyBorder="1"/>
    <xf numFmtId="0" fontId="24" fillId="2" borderId="0" xfId="0" applyFont="1" applyFill="1" applyAlignment="1">
      <alignment horizontal="right"/>
    </xf>
    <xf numFmtId="10" fontId="0" fillId="2" borderId="0" xfId="0" applyNumberFormat="1" applyFill="1"/>
    <xf numFmtId="0" fontId="4" fillId="2" borderId="0" xfId="0" applyFont="1" applyFill="1" applyAlignment="1">
      <alignment vertical="center"/>
    </xf>
    <xf numFmtId="0" fontId="92" fillId="2" borderId="0" xfId="0" applyFont="1" applyFill="1" applyAlignment="1">
      <alignment horizontal="left" vertical="center"/>
    </xf>
    <xf numFmtId="0" fontId="33" fillId="2" borderId="0" xfId="0" applyFont="1" applyFill="1" applyAlignment="1">
      <alignment vertical="center"/>
    </xf>
    <xf numFmtId="0" fontId="0" fillId="2" borderId="0" xfId="0" applyFill="1" applyAlignment="1">
      <alignment vertical="center"/>
    </xf>
    <xf numFmtId="0" fontId="4" fillId="0" borderId="0" xfId="0" applyFont="1"/>
    <xf numFmtId="0" fontId="26" fillId="2" borderId="0" xfId="0" applyFont="1" applyFill="1" applyAlignment="1">
      <alignment horizontal="left" vertical="center"/>
    </xf>
    <xf numFmtId="0" fontId="15" fillId="2" borderId="0" xfId="0" applyFont="1" applyFill="1" applyAlignment="1">
      <alignment horizontal="left" vertical="center"/>
    </xf>
    <xf numFmtId="0" fontId="62" fillId="16" borderId="7" xfId="0" applyFont="1" applyFill="1" applyBorder="1" applyProtection="1">
      <protection locked="0"/>
    </xf>
    <xf numFmtId="0" fontId="19" fillId="16" borderId="0" xfId="0" applyFont="1" applyFill="1" applyProtection="1">
      <protection locked="0"/>
    </xf>
    <xf numFmtId="0" fontId="0" fillId="16" borderId="8" xfId="0" applyFill="1" applyBorder="1" applyProtection="1">
      <protection locked="0"/>
    </xf>
    <xf numFmtId="0" fontId="19" fillId="16" borderId="7" xfId="0" applyFont="1" applyFill="1" applyBorder="1" applyProtection="1">
      <protection locked="0"/>
    </xf>
    <xf numFmtId="0" fontId="0" fillId="32" borderId="20" xfId="0" applyFill="1" applyBorder="1"/>
    <xf numFmtId="0" fontId="0" fillId="28" borderId="20" xfId="0" applyFill="1" applyBorder="1"/>
    <xf numFmtId="0" fontId="12" fillId="28" borderId="20" xfId="0" applyFont="1" applyFill="1" applyBorder="1"/>
    <xf numFmtId="0" fontId="12" fillId="28" borderId="20" xfId="0" applyFont="1" applyFill="1" applyBorder="1" applyAlignment="1">
      <alignment wrapText="1"/>
    </xf>
    <xf numFmtId="0" fontId="15" fillId="28" borderId="20" xfId="0" applyFont="1" applyFill="1" applyBorder="1" applyAlignment="1">
      <alignment wrapText="1"/>
    </xf>
    <xf numFmtId="0" fontId="113" fillId="28" borderId="20" xfId="0" applyFont="1" applyFill="1" applyBorder="1" applyAlignment="1">
      <alignment horizontal="center" vertical="center" wrapText="1"/>
    </xf>
    <xf numFmtId="0" fontId="41" fillId="13" borderId="21" xfId="0" applyFont="1" applyFill="1" applyBorder="1" applyAlignment="1" applyProtection="1">
      <alignment horizontal="center" vertical="center" wrapText="1"/>
      <protection locked="0"/>
    </xf>
    <xf numFmtId="0" fontId="113" fillId="0" borderId="0" xfId="0" applyFont="1" applyAlignment="1">
      <alignment horizontal="center" vertical="center" wrapText="1"/>
    </xf>
    <xf numFmtId="0" fontId="37" fillId="29" borderId="172" xfId="0" applyFont="1" applyFill="1" applyBorder="1"/>
    <xf numFmtId="0" fontId="37" fillId="30" borderId="172" xfId="0" applyFont="1" applyFill="1" applyBorder="1"/>
    <xf numFmtId="44" fontId="41" fillId="6" borderId="135" xfId="7" applyFont="1" applyFill="1" applyBorder="1" applyAlignment="1" applyProtection="1"/>
    <xf numFmtId="44" fontId="41" fillId="6" borderId="27" xfId="7" applyFont="1" applyFill="1" applyBorder="1" applyAlignment="1" applyProtection="1"/>
    <xf numFmtId="0" fontId="114" fillId="34" borderId="56" xfId="0" applyFont="1" applyFill="1" applyBorder="1" applyAlignment="1">
      <alignment horizontal="center" vertical="center"/>
    </xf>
    <xf numFmtId="0" fontId="114" fillId="34" borderId="60" xfId="0" applyFont="1" applyFill="1" applyBorder="1" applyAlignment="1">
      <alignment horizontal="center" vertical="center" wrapText="1"/>
    </xf>
    <xf numFmtId="0" fontId="0" fillId="0" borderId="0" xfId="0" applyAlignment="1">
      <alignment vertical="center"/>
    </xf>
    <xf numFmtId="9" fontId="115" fillId="0" borderId="225" xfId="0" applyNumberFormat="1" applyFont="1" applyBorder="1" applyAlignment="1">
      <alignment horizontal="center" vertical="center"/>
    </xf>
    <xf numFmtId="9" fontId="115" fillId="0" borderId="226" xfId="0" applyNumberFormat="1" applyFont="1" applyBorder="1" applyAlignment="1">
      <alignment horizontal="center" vertical="center"/>
    </xf>
    <xf numFmtId="0" fontId="115" fillId="0" borderId="20" xfId="0" applyFont="1" applyBorder="1" applyAlignment="1">
      <alignment horizontal="left" vertical="center"/>
    </xf>
    <xf numFmtId="9" fontId="24" fillId="16" borderId="0" xfId="3" applyFont="1" applyFill="1" applyBorder="1" applyAlignment="1" applyProtection="1">
      <alignment horizontal="center" vertical="center" wrapText="1"/>
    </xf>
    <xf numFmtId="9" fontId="24" fillId="0" borderId="0" xfId="0" applyNumberFormat="1" applyFont="1" applyAlignment="1" applyProtection="1">
      <alignment horizontal="center"/>
      <protection locked="0"/>
    </xf>
    <xf numFmtId="0" fontId="92" fillId="2" borderId="25" xfId="0" applyFont="1" applyFill="1" applyBorder="1" applyProtection="1">
      <protection locked="0"/>
    </xf>
    <xf numFmtId="0" fontId="40" fillId="0" borderId="27" xfId="0" applyFont="1" applyBorder="1" applyProtection="1">
      <protection locked="0"/>
    </xf>
    <xf numFmtId="0" fontId="40" fillId="0" borderId="21" xfId="0" applyFont="1" applyBorder="1" applyProtection="1">
      <protection locked="0"/>
    </xf>
    <xf numFmtId="0" fontId="40" fillId="0" borderId="22" xfId="0" applyFont="1" applyBorder="1" applyProtection="1">
      <protection locked="0"/>
    </xf>
    <xf numFmtId="0" fontId="40" fillId="0" borderId="48" xfId="0" applyFont="1" applyBorder="1" applyProtection="1">
      <protection locked="0"/>
    </xf>
    <xf numFmtId="0" fontId="24" fillId="35" borderId="20" xfId="0" applyFont="1" applyFill="1" applyBorder="1"/>
    <xf numFmtId="0" fontId="116" fillId="0" borderId="20" xfId="0" applyFont="1" applyBorder="1"/>
    <xf numFmtId="0" fontId="116" fillId="0" borderId="228" xfId="0" applyFont="1" applyBorder="1"/>
    <xf numFmtId="0" fontId="24" fillId="0" borderId="20" xfId="0" applyFont="1" applyBorder="1" applyAlignment="1">
      <alignment vertical="center"/>
    </xf>
    <xf numFmtId="0" fontId="95" fillId="2" borderId="0" xfId="0" applyFont="1" applyFill="1" applyAlignment="1">
      <alignment horizontal="left" vertical="center" wrapText="1"/>
    </xf>
    <xf numFmtId="188" fontId="40" fillId="2" borderId="21" xfId="0" applyNumberFormat="1" applyFont="1" applyFill="1" applyBorder="1" applyAlignment="1" applyProtection="1">
      <alignment vertical="center"/>
      <protection locked="0"/>
    </xf>
    <xf numFmtId="0" fontId="115" fillId="0" borderId="0" xfId="0" applyFont="1"/>
    <xf numFmtId="0" fontId="115" fillId="0" borderId="0" xfId="0" applyFont="1" applyAlignment="1">
      <alignment wrapText="1"/>
    </xf>
    <xf numFmtId="0" fontId="117" fillId="0" borderId="0" xfId="0" applyFont="1" applyAlignment="1">
      <alignment wrapText="1"/>
    </xf>
    <xf numFmtId="0" fontId="117" fillId="0" borderId="0" xfId="0" applyFont="1" applyAlignment="1">
      <alignment horizontal="center"/>
    </xf>
    <xf numFmtId="0" fontId="115" fillId="2" borderId="0" xfId="0" applyFont="1" applyFill="1" applyAlignment="1">
      <alignment horizontal="right" wrapText="1"/>
    </xf>
    <xf numFmtId="0" fontId="117" fillId="6" borderId="233" xfId="0" applyFont="1" applyFill="1" applyBorder="1" applyAlignment="1">
      <alignment horizontal="center" vertical="center" wrapText="1"/>
    </xf>
    <xf numFmtId="0" fontId="115" fillId="4" borderId="20" xfId="0" applyFont="1" applyFill="1" applyBorder="1" applyAlignment="1">
      <alignment horizontal="right" wrapText="1"/>
    </xf>
    <xf numFmtId="0" fontId="121" fillId="4" borderId="234" xfId="0" applyFont="1" applyFill="1" applyBorder="1" applyAlignment="1">
      <alignment horizontal="right" vertical="center" wrapText="1"/>
    </xf>
    <xf numFmtId="0" fontId="122" fillId="0" borderId="0" xfId="0" applyFont="1" applyAlignment="1">
      <alignment horizontal="right" vertical="center"/>
    </xf>
    <xf numFmtId="0" fontId="0" fillId="0" borderId="0" xfId="0" applyAlignment="1">
      <alignment horizontal="right"/>
    </xf>
    <xf numFmtId="0" fontId="125" fillId="0" borderId="216" xfId="0" applyFont="1" applyBorder="1" applyAlignment="1">
      <alignment horizontal="left" wrapText="1"/>
    </xf>
    <xf numFmtId="0" fontId="117" fillId="2" borderId="233" xfId="0" applyFont="1" applyFill="1" applyBorder="1" applyAlignment="1">
      <alignment horizontal="left" vertical="center" wrapText="1"/>
    </xf>
    <xf numFmtId="0" fontId="117" fillId="16" borderId="235" xfId="0" applyFont="1" applyFill="1" applyBorder="1" applyAlignment="1">
      <alignment horizontal="center" vertical="center"/>
    </xf>
    <xf numFmtId="0" fontId="117" fillId="16" borderId="236" xfId="0" applyFont="1" applyFill="1" applyBorder="1" applyAlignment="1">
      <alignment horizontal="center" vertical="center"/>
    </xf>
    <xf numFmtId="0" fontId="115" fillId="2" borderId="0" xfId="0" applyFont="1" applyFill="1"/>
    <xf numFmtId="0" fontId="115" fillId="6" borderId="20" xfId="0" applyFont="1" applyFill="1" applyBorder="1" applyAlignment="1">
      <alignment wrapText="1"/>
    </xf>
    <xf numFmtId="0" fontId="115" fillId="16" borderId="216" xfId="0" applyFont="1" applyFill="1" applyBorder="1"/>
    <xf numFmtId="0" fontId="115" fillId="37" borderId="20" xfId="0" applyFont="1" applyFill="1" applyBorder="1"/>
    <xf numFmtId="0" fontId="115" fillId="16" borderId="0" xfId="0" applyFont="1" applyFill="1" applyAlignment="1">
      <alignment horizontal="center"/>
    </xf>
    <xf numFmtId="0" fontId="115" fillId="6" borderId="20" xfId="0" applyFont="1" applyFill="1" applyBorder="1" applyAlignment="1">
      <alignment horizontal="left" vertical="center" wrapText="1"/>
    </xf>
    <xf numFmtId="0" fontId="115" fillId="36" borderId="216" xfId="0" applyFont="1" applyFill="1" applyBorder="1"/>
    <xf numFmtId="0" fontId="115" fillId="36" borderId="20" xfId="0" applyFont="1" applyFill="1" applyBorder="1" applyAlignment="1">
      <alignment wrapText="1"/>
    </xf>
    <xf numFmtId="0" fontId="117" fillId="0" borderId="0" xfId="0" applyFont="1" applyAlignment="1">
      <alignment horizontal="center" wrapText="1"/>
    </xf>
    <xf numFmtId="9" fontId="117" fillId="36" borderId="0" xfId="0" applyNumberFormat="1" applyFont="1" applyFill="1" applyAlignment="1">
      <alignment horizontal="center" wrapText="1"/>
    </xf>
    <xf numFmtId="0" fontId="0" fillId="0" borderId="0" xfId="0" applyAlignment="1">
      <alignment wrapText="1"/>
    </xf>
    <xf numFmtId="0" fontId="126" fillId="0" borderId="0" xfId="0" applyFont="1"/>
    <xf numFmtId="0" fontId="128" fillId="26" borderId="129" xfId="0" applyFont="1" applyFill="1" applyBorder="1" applyAlignment="1">
      <alignment horizontal="center" vertical="center" wrapText="1"/>
    </xf>
    <xf numFmtId="0" fontId="30" fillId="26" borderId="129" xfId="0" applyFont="1" applyFill="1" applyBorder="1" applyAlignment="1">
      <alignment horizontal="center" vertical="center" wrapText="1"/>
    </xf>
    <xf numFmtId="44" fontId="115" fillId="4" borderId="216" xfId="0" applyNumberFormat="1" applyFont="1" applyFill="1" applyBorder="1"/>
    <xf numFmtId="185" fontId="65" fillId="2" borderId="215" xfId="7" applyNumberFormat="1" applyFont="1" applyFill="1" applyBorder="1"/>
    <xf numFmtId="0" fontId="65" fillId="2" borderId="0" xfId="0" applyFont="1" applyFill="1"/>
    <xf numFmtId="185" fontId="65" fillId="2" borderId="0" xfId="7" applyNumberFormat="1" applyFont="1" applyFill="1" applyBorder="1"/>
    <xf numFmtId="0" fontId="65" fillId="2" borderId="243" xfId="0" applyFont="1" applyFill="1" applyBorder="1"/>
    <xf numFmtId="44" fontId="92" fillId="2" borderId="0" xfId="7" applyFont="1" applyFill="1" applyAlignment="1">
      <alignment horizontal="left" vertical="center" wrapText="1"/>
    </xf>
    <xf numFmtId="9" fontId="92" fillId="0" borderId="12" xfId="3" applyFont="1" applyBorder="1" applyAlignment="1">
      <alignment horizontal="center" vertical="center"/>
    </xf>
    <xf numFmtId="0" fontId="129" fillId="2" borderId="0" xfId="0" applyFont="1" applyFill="1" applyAlignment="1">
      <alignment vertical="center" wrapText="1"/>
    </xf>
    <xf numFmtId="0" fontId="12" fillId="2" borderId="0" xfId="0" applyFont="1" applyFill="1"/>
    <xf numFmtId="0" fontId="95" fillId="2" borderId="0" xfId="0" applyFont="1" applyFill="1" applyAlignment="1">
      <alignment vertical="center" wrapText="1"/>
    </xf>
    <xf numFmtId="0" fontId="40" fillId="2" borderId="21" xfId="0" applyFont="1" applyFill="1" applyBorder="1" applyProtection="1">
      <protection locked="0"/>
    </xf>
    <xf numFmtId="165" fontId="108" fillId="6" borderId="21" xfId="0" applyNumberFormat="1" applyFont="1" applyFill="1" applyBorder="1" applyAlignment="1" applyProtection="1">
      <alignment horizontal="center" vertical="center" wrapText="1"/>
      <protection locked="0"/>
    </xf>
    <xf numFmtId="0" fontId="4" fillId="2" borderId="172" xfId="0" applyFont="1" applyFill="1" applyBorder="1" applyAlignment="1" applyProtection="1">
      <alignment horizontal="center"/>
      <protection locked="0"/>
    </xf>
    <xf numFmtId="177" fontId="41" fillId="0" borderId="21" xfId="0" applyNumberFormat="1" applyFont="1" applyBorder="1" applyAlignment="1" applyProtection="1">
      <alignment horizontal="center" vertical="center" wrapText="1"/>
      <protection locked="0"/>
    </xf>
    <xf numFmtId="176" fontId="41" fillId="13" borderId="21" xfId="0" applyNumberFormat="1" applyFont="1" applyFill="1" applyBorder="1" applyAlignment="1" applyProtection="1">
      <alignment horizontal="center" vertical="center" wrapText="1"/>
      <protection locked="0"/>
    </xf>
    <xf numFmtId="189" fontId="30" fillId="6" borderId="24" xfId="3" applyNumberFormat="1" applyFont="1" applyFill="1" applyBorder="1" applyAlignment="1" applyProtection="1">
      <alignment horizontal="center" vertical="center"/>
    </xf>
    <xf numFmtId="9" fontId="34" fillId="6" borderId="24" xfId="3" applyFont="1" applyFill="1" applyBorder="1" applyAlignment="1" applyProtection="1">
      <alignment horizontal="left" vertical="center"/>
    </xf>
    <xf numFmtId="0" fontId="23" fillId="16" borderId="0" xfId="2" applyFill="1" applyBorder="1" applyAlignment="1" applyProtection="1">
      <alignment horizontal="center" vertical="center" wrapText="1"/>
    </xf>
    <xf numFmtId="0" fontId="23" fillId="2" borderId="0" xfId="2" applyFill="1"/>
    <xf numFmtId="180" fontId="0" fillId="2" borderId="0" xfId="0" applyNumberFormat="1" applyFill="1"/>
    <xf numFmtId="17" fontId="68" fillId="2" borderId="109" xfId="0" applyNumberFormat="1" applyFont="1" applyFill="1" applyBorder="1" applyAlignment="1">
      <alignment horizontal="center" vertical="center"/>
    </xf>
    <xf numFmtId="190" fontId="92" fillId="2" borderId="0" xfId="0" applyNumberFormat="1" applyFont="1" applyFill="1" applyAlignment="1">
      <alignment horizontal="left" vertical="center" wrapText="1"/>
    </xf>
    <xf numFmtId="0" fontId="110" fillId="2" borderId="57" xfId="0" applyFont="1" applyFill="1" applyBorder="1" applyAlignment="1">
      <alignment horizontal="center" vertical="center"/>
    </xf>
    <xf numFmtId="0" fontId="47" fillId="2" borderId="23" xfId="0" applyFont="1" applyFill="1" applyBorder="1" applyAlignment="1" applyProtection="1">
      <alignment horizontal="center" vertical="center"/>
      <protection locked="0"/>
    </xf>
    <xf numFmtId="0" fontId="47" fillId="2" borderId="47" xfId="0" applyFont="1" applyFill="1" applyBorder="1" applyAlignment="1" applyProtection="1">
      <alignment horizontal="center" vertical="center"/>
      <protection locked="0"/>
    </xf>
    <xf numFmtId="0" fontId="47" fillId="2" borderId="205" xfId="0" applyFont="1" applyFill="1" applyBorder="1" applyAlignment="1" applyProtection="1">
      <alignment horizontal="center" vertical="center"/>
      <protection locked="0"/>
    </xf>
    <xf numFmtId="165" fontId="41" fillId="0" borderId="21" xfId="0" applyNumberFormat="1" applyFont="1" applyBorder="1" applyAlignment="1" applyProtection="1">
      <alignment horizontal="center" vertical="center" wrapText="1"/>
      <protection locked="0"/>
    </xf>
    <xf numFmtId="177" fontId="37" fillId="13" borderId="21" xfId="0" applyNumberFormat="1" applyFont="1" applyFill="1" applyBorder="1" applyAlignment="1" applyProtection="1">
      <alignment horizontal="center" vertical="center" wrapText="1"/>
      <protection locked="0"/>
    </xf>
    <xf numFmtId="0" fontId="135" fillId="16" borderId="92" xfId="0" applyFont="1" applyFill="1" applyBorder="1"/>
    <xf numFmtId="0" fontId="63" fillId="13" borderId="25" xfId="0" applyFont="1" applyFill="1" applyBorder="1" applyAlignment="1" applyProtection="1">
      <alignment horizontal="center" vertical="center"/>
      <protection locked="0"/>
    </xf>
    <xf numFmtId="9" fontId="32" fillId="6" borderId="0" xfId="3" applyFont="1" applyFill="1" applyBorder="1" applyAlignment="1" applyProtection="1">
      <alignment horizontal="left" vertical="center"/>
    </xf>
    <xf numFmtId="0" fontId="40" fillId="0" borderId="247" xfId="0" applyFont="1" applyBorder="1" applyProtection="1">
      <protection locked="0"/>
    </xf>
    <xf numFmtId="0" fontId="40" fillId="0" borderId="246" xfId="0" applyFont="1" applyBorder="1" applyProtection="1">
      <protection locked="0"/>
    </xf>
    <xf numFmtId="1" fontId="33" fillId="0" borderId="23" xfId="0" applyNumberFormat="1" applyFont="1" applyBorder="1" applyAlignment="1" applyProtection="1">
      <alignment horizontal="right" vertical="center"/>
      <protection locked="0"/>
    </xf>
    <xf numFmtId="1" fontId="34" fillId="0" borderId="23" xfId="0" applyNumberFormat="1" applyFont="1" applyBorder="1" applyAlignment="1" applyProtection="1">
      <alignment horizontal="right" vertical="center"/>
      <protection locked="0"/>
    </xf>
    <xf numFmtId="9" fontId="33" fillId="6" borderId="23" xfId="3" applyFont="1" applyFill="1" applyBorder="1" applyAlignment="1" applyProtection="1">
      <alignment horizontal="right" vertical="center"/>
    </xf>
    <xf numFmtId="177" fontId="33" fillId="0" borderId="28" xfId="7" applyNumberFormat="1" applyFont="1" applyBorder="1" applyAlignment="1" applyProtection="1">
      <alignment horizontal="right" vertical="center"/>
      <protection locked="0"/>
    </xf>
    <xf numFmtId="1" fontId="34" fillId="2" borderId="23" xfId="0" applyNumberFormat="1" applyFont="1" applyFill="1" applyBorder="1" applyAlignment="1" applyProtection="1">
      <alignment horizontal="right" vertical="center"/>
      <protection locked="0"/>
    </xf>
    <xf numFmtId="1" fontId="33" fillId="6" borderId="23" xfId="3" applyNumberFormat="1" applyFont="1" applyFill="1" applyBorder="1" applyAlignment="1" applyProtection="1">
      <alignment horizontal="right" vertical="center"/>
    </xf>
    <xf numFmtId="0" fontId="142" fillId="6" borderId="0" xfId="3" applyNumberFormat="1" applyFont="1" applyFill="1" applyBorder="1" applyAlignment="1" applyProtection="1">
      <alignment horizontal="left" vertical="center"/>
    </xf>
    <xf numFmtId="1" fontId="4" fillId="0" borderId="28" xfId="0" applyNumberFormat="1" applyFont="1" applyBorder="1" applyAlignment="1" applyProtection="1">
      <alignment horizontal="right" vertical="center"/>
      <protection locked="0"/>
    </xf>
    <xf numFmtId="1" fontId="4" fillId="0" borderId="29" xfId="0" applyNumberFormat="1" applyFont="1" applyBorder="1" applyAlignment="1" applyProtection="1">
      <alignment horizontal="right" vertical="center"/>
      <protection locked="0"/>
    </xf>
    <xf numFmtId="1" fontId="4" fillId="0" borderId="46" xfId="0" applyNumberFormat="1" applyFont="1" applyBorder="1" applyAlignment="1" applyProtection="1">
      <alignment horizontal="right" vertical="center"/>
      <protection locked="0"/>
    </xf>
    <xf numFmtId="42" fontId="41" fillId="2" borderId="162" xfId="7" applyNumberFormat="1" applyFont="1" applyFill="1" applyBorder="1" applyAlignment="1" applyProtection="1">
      <protection locked="0"/>
    </xf>
    <xf numFmtId="42" fontId="41" fillId="2" borderId="27" xfId="7" applyNumberFormat="1" applyFont="1" applyFill="1" applyBorder="1" applyAlignment="1" applyProtection="1">
      <protection locked="0"/>
    </xf>
    <xf numFmtId="42" fontId="41" fillId="2" borderId="21" xfId="7" applyNumberFormat="1" applyFont="1" applyFill="1" applyBorder="1" applyProtection="1">
      <protection locked="0"/>
    </xf>
    <xf numFmtId="42" fontId="41" fillId="2" borderId="135" xfId="7" applyNumberFormat="1" applyFont="1" applyFill="1" applyBorder="1" applyAlignment="1" applyProtection="1">
      <protection locked="0"/>
    </xf>
    <xf numFmtId="42" fontId="41" fillId="2" borderId="151" xfId="7" applyNumberFormat="1" applyFont="1" applyFill="1" applyBorder="1" applyAlignment="1" applyProtection="1">
      <protection locked="0"/>
    </xf>
    <xf numFmtId="42" fontId="41" fillId="2" borderId="152" xfId="7" applyNumberFormat="1" applyFont="1" applyFill="1" applyBorder="1" applyAlignment="1" applyProtection="1">
      <protection locked="0"/>
    </xf>
    <xf numFmtId="42" fontId="40" fillId="6" borderId="37" xfId="7" applyNumberFormat="1" applyFont="1" applyFill="1" applyBorder="1" applyAlignment="1" applyProtection="1">
      <alignment vertical="center" wrapText="1"/>
    </xf>
    <xf numFmtId="42" fontId="41" fillId="0" borderId="97" xfId="7" applyNumberFormat="1" applyFont="1" applyFill="1" applyBorder="1" applyAlignment="1" applyProtection="1">
      <alignment vertical="center" wrapText="1"/>
      <protection locked="0"/>
    </xf>
    <xf numFmtId="42" fontId="41" fillId="6" borderId="140" xfId="7" applyNumberFormat="1" applyFont="1" applyFill="1" applyBorder="1" applyAlignment="1" applyProtection="1">
      <alignment vertical="center" wrapText="1"/>
    </xf>
    <xf numFmtId="42" fontId="41" fillId="0" borderId="99" xfId="7" applyNumberFormat="1" applyFont="1" applyFill="1" applyBorder="1" applyAlignment="1" applyProtection="1">
      <alignment vertical="center" wrapText="1"/>
      <protection locked="0"/>
    </xf>
    <xf numFmtId="42" fontId="41" fillId="6" borderId="51" xfId="7" applyNumberFormat="1" applyFont="1" applyFill="1" applyBorder="1" applyAlignment="1" applyProtection="1">
      <alignment vertical="center" wrapText="1"/>
    </xf>
    <xf numFmtId="42" fontId="41" fillId="6" borderId="93" xfId="7" applyNumberFormat="1" applyFont="1" applyFill="1" applyBorder="1" applyAlignment="1" applyProtection="1">
      <alignment vertical="center" wrapText="1"/>
    </xf>
    <xf numFmtId="42" fontId="41" fillId="6" borderId="141" xfId="7" applyNumberFormat="1" applyFont="1" applyFill="1" applyBorder="1" applyAlignment="1" applyProtection="1">
      <alignment vertical="center" wrapText="1"/>
    </xf>
    <xf numFmtId="42" fontId="40" fillId="2" borderId="21" xfId="0" applyNumberFormat="1" applyFont="1" applyFill="1" applyBorder="1" applyAlignment="1" applyProtection="1">
      <alignment vertical="center"/>
      <protection locked="0"/>
    </xf>
    <xf numFmtId="9" fontId="0" fillId="33" borderId="27" xfId="3" applyFont="1" applyFill="1" applyBorder="1" applyAlignment="1" applyProtection="1">
      <alignment horizontal="center"/>
    </xf>
    <xf numFmtId="193" fontId="92" fillId="2" borderId="11" xfId="9" applyNumberFormat="1" applyFont="1" applyFill="1" applyBorder="1" applyAlignment="1">
      <alignment horizontal="right" vertical="center" wrapText="1"/>
    </xf>
    <xf numFmtId="194" fontId="92" fillId="2" borderId="0" xfId="0" applyNumberFormat="1" applyFont="1" applyFill="1" applyAlignment="1">
      <alignment horizontal="left" vertical="center" wrapText="1"/>
    </xf>
    <xf numFmtId="0" fontId="145" fillId="2" borderId="57" xfId="0" applyFont="1" applyFill="1" applyBorder="1"/>
    <xf numFmtId="0" fontId="102" fillId="2" borderId="0" xfId="0" applyFont="1" applyFill="1" applyAlignment="1">
      <alignment vertical="center"/>
    </xf>
    <xf numFmtId="178" fontId="40" fillId="2" borderId="21" xfId="0" applyNumberFormat="1" applyFont="1" applyFill="1" applyBorder="1" applyAlignment="1" applyProtection="1">
      <alignment horizontal="right" vertical="center" wrapText="1"/>
      <protection locked="0"/>
    </xf>
    <xf numFmtId="0" fontId="96" fillId="10" borderId="100" xfId="0" applyFont="1" applyFill="1" applyBorder="1" applyAlignment="1">
      <alignment horizontal="left" vertical="center"/>
    </xf>
    <xf numFmtId="0" fontId="97" fillId="10" borderId="101" xfId="0" applyFont="1" applyFill="1" applyBorder="1"/>
    <xf numFmtId="0" fontId="98" fillId="10" borderId="101" xfId="0" applyFont="1" applyFill="1" applyBorder="1" applyAlignment="1">
      <alignment horizontal="left" vertical="center"/>
    </xf>
    <xf numFmtId="0" fontId="80" fillId="10" borderId="101" xfId="0" applyFont="1" applyFill="1" applyBorder="1" applyAlignment="1">
      <alignment horizontal="center" vertical="center"/>
    </xf>
    <xf numFmtId="14" fontId="134" fillId="10" borderId="102" xfId="0" applyNumberFormat="1" applyFont="1" applyFill="1" applyBorder="1" applyAlignment="1">
      <alignment horizontal="center" vertical="center"/>
    </xf>
    <xf numFmtId="0" fontId="66" fillId="2" borderId="34" xfId="0" applyFont="1" applyFill="1" applyBorder="1"/>
    <xf numFmtId="0" fontId="4" fillId="2" borderId="34" xfId="0" applyFont="1" applyFill="1" applyBorder="1"/>
    <xf numFmtId="0" fontId="4" fillId="2" borderId="122" xfId="0" applyFont="1" applyFill="1" applyBorder="1"/>
    <xf numFmtId="0" fontId="4" fillId="2" borderId="123" xfId="0" applyFont="1" applyFill="1" applyBorder="1"/>
    <xf numFmtId="0" fontId="101" fillId="2" borderId="111" xfId="0" applyFont="1" applyFill="1" applyBorder="1" applyAlignment="1">
      <alignment horizontal="center" vertical="center" wrapText="1"/>
    </xf>
    <xf numFmtId="0" fontId="101" fillId="2" borderId="114" xfId="0" applyFont="1" applyFill="1" applyBorder="1" applyAlignment="1">
      <alignment horizontal="center" vertical="center" wrapText="1"/>
    </xf>
    <xf numFmtId="0" fontId="4" fillId="2" borderId="114" xfId="0" applyFont="1" applyFill="1" applyBorder="1"/>
    <xf numFmtId="0" fontId="59" fillId="2" borderId="114" xfId="0" applyFont="1" applyFill="1" applyBorder="1" applyAlignment="1">
      <alignment horizontal="center" vertical="center"/>
    </xf>
    <xf numFmtId="0" fontId="59" fillId="2" borderId="115" xfId="0" applyFont="1" applyFill="1" applyBorder="1" applyAlignment="1">
      <alignment horizontal="center" vertical="center"/>
    </xf>
    <xf numFmtId="0" fontId="100" fillId="2" borderId="114" xfId="0" applyFont="1" applyFill="1" applyBorder="1" applyAlignment="1">
      <alignment horizontal="center" vertical="center" wrapText="1"/>
    </xf>
    <xf numFmtId="0" fontId="100" fillId="2" borderId="114" xfId="0" applyFont="1" applyFill="1" applyBorder="1" applyAlignment="1">
      <alignment horizontal="center" vertical="center"/>
    </xf>
    <xf numFmtId="0" fontId="100" fillId="2" borderId="101" xfId="0" applyFont="1" applyFill="1" applyBorder="1" applyAlignment="1">
      <alignment vertical="center"/>
    </xf>
    <xf numFmtId="0" fontId="100" fillId="2" borderId="114" xfId="0" applyFont="1" applyFill="1" applyBorder="1" applyAlignment="1">
      <alignment horizontal="center" wrapText="1"/>
    </xf>
    <xf numFmtId="0" fontId="0" fillId="2" borderId="19" xfId="0" applyFill="1" applyBorder="1"/>
    <xf numFmtId="0" fontId="22" fillId="2" borderId="0" xfId="0" applyFont="1" applyFill="1" applyAlignment="1">
      <alignment horizontal="center"/>
    </xf>
    <xf numFmtId="0" fontId="92" fillId="0" borderId="0" xfId="0" applyFont="1" applyAlignment="1">
      <alignment horizontal="center"/>
    </xf>
    <xf numFmtId="0" fontId="26" fillId="2" borderId="0" xfId="0" applyFont="1" applyFill="1" applyAlignment="1">
      <alignment horizontal="center"/>
    </xf>
    <xf numFmtId="0" fontId="24" fillId="11" borderId="153" xfId="0" applyFont="1" applyFill="1" applyBorder="1" applyAlignment="1">
      <alignment horizontal="right"/>
    </xf>
    <xf numFmtId="0" fontId="24" fillId="11" borderId="47" xfId="0" applyFont="1" applyFill="1" applyBorder="1" applyAlignment="1">
      <alignment horizontal="right"/>
    </xf>
    <xf numFmtId="0" fontId="24" fillId="11" borderId="48" xfId="0" applyFont="1" applyFill="1" applyBorder="1" applyAlignment="1">
      <alignment horizontal="right"/>
    </xf>
    <xf numFmtId="0" fontId="23" fillId="11" borderId="48" xfId="2" applyFill="1" applyBorder="1" applyAlignment="1" applyProtection="1">
      <alignment horizontal="right"/>
    </xf>
    <xf numFmtId="0" fontId="9" fillId="2" borderId="0" xfId="0" applyFont="1" applyFill="1" applyAlignment="1">
      <alignment horizontal="center"/>
    </xf>
    <xf numFmtId="0" fontId="29" fillId="2" borderId="0" xfId="0" applyFont="1" applyFill="1"/>
    <xf numFmtId="0" fontId="47" fillId="2" borderId="0" xfId="0" applyFont="1" applyFill="1" applyAlignment="1">
      <alignment vertical="center"/>
    </xf>
    <xf numFmtId="0" fontId="40" fillId="8" borderId="25" xfId="0" applyFont="1" applyFill="1" applyBorder="1" applyAlignment="1">
      <alignment vertical="center"/>
    </xf>
    <xf numFmtId="0" fontId="40" fillId="8" borderId="30" xfId="0" applyFont="1" applyFill="1" applyBorder="1" applyAlignment="1">
      <alignment vertical="center"/>
    </xf>
    <xf numFmtId="0" fontId="40" fillId="8" borderId="204" xfId="0" applyFont="1" applyFill="1" applyBorder="1" applyAlignment="1">
      <alignment vertical="center"/>
    </xf>
    <xf numFmtId="0" fontId="4" fillId="2" borderId="0" xfId="0" applyFont="1" applyFill="1" applyAlignment="1">
      <alignment horizontal="center" vertical="center"/>
    </xf>
    <xf numFmtId="0" fontId="103" fillId="5" borderId="101" xfId="0" applyFont="1" applyFill="1" applyBorder="1" applyAlignment="1">
      <alignment horizontal="center" vertical="center"/>
    </xf>
    <xf numFmtId="0" fontId="81" fillId="10" borderId="156" xfId="0" applyFont="1" applyFill="1" applyBorder="1" applyAlignment="1">
      <alignment horizontal="center" vertical="center"/>
    </xf>
    <xf numFmtId="0" fontId="81" fillId="10" borderId="207" xfId="0" applyFont="1" applyFill="1" applyBorder="1" applyAlignment="1">
      <alignment horizontal="center" vertical="center"/>
    </xf>
    <xf numFmtId="0" fontId="15" fillId="2" borderId="0" xfId="0" applyFont="1" applyFill="1" applyAlignment="1">
      <alignment horizontal="center" vertical="center"/>
    </xf>
    <xf numFmtId="0" fontId="43" fillId="2" borderId="0" xfId="0" applyFont="1" applyFill="1"/>
    <xf numFmtId="0" fontId="81" fillId="10" borderId="158" xfId="0" applyFont="1" applyFill="1" applyBorder="1" applyAlignment="1">
      <alignment horizontal="center" vertical="center"/>
    </xf>
    <xf numFmtId="0" fontId="4" fillId="6" borderId="110" xfId="0" applyFont="1" applyFill="1" applyBorder="1" applyAlignment="1">
      <alignment vertical="center"/>
    </xf>
    <xf numFmtId="0" fontId="4" fillId="6" borderId="208" xfId="0" applyFont="1" applyFill="1" applyBorder="1" applyAlignment="1">
      <alignment vertical="center"/>
    </xf>
    <xf numFmtId="0" fontId="4" fillId="6" borderId="209" xfId="0" applyFont="1" applyFill="1" applyBorder="1" applyAlignment="1">
      <alignment vertical="center"/>
    </xf>
    <xf numFmtId="0" fontId="4" fillId="6" borderId="110" xfId="0" applyFont="1" applyFill="1" applyBorder="1"/>
    <xf numFmtId="0" fontId="4" fillId="6" borderId="208" xfId="0" applyFont="1" applyFill="1" applyBorder="1" applyAlignment="1">
      <alignment vertical="center" wrapText="1"/>
    </xf>
    <xf numFmtId="0" fontId="4" fillId="2" borderId="0" xfId="0" applyFont="1" applyFill="1" applyAlignment="1">
      <alignment vertical="center" wrapText="1"/>
    </xf>
    <xf numFmtId="0" fontId="4" fillId="6" borderId="110" xfId="0" applyFont="1" applyFill="1" applyBorder="1" applyAlignment="1">
      <alignment vertical="center" wrapText="1"/>
    </xf>
    <xf numFmtId="0" fontId="4" fillId="6" borderId="201" xfId="0" applyFont="1" applyFill="1" applyBorder="1" applyAlignment="1">
      <alignment vertical="center" wrapText="1"/>
    </xf>
    <xf numFmtId="0" fontId="4" fillId="6" borderId="209" xfId="0" applyFont="1" applyFill="1" applyBorder="1" applyAlignment="1">
      <alignment vertical="center" wrapText="1"/>
    </xf>
    <xf numFmtId="0" fontId="15"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6" borderId="111" xfId="0" applyFont="1" applyFill="1" applyBorder="1" applyAlignment="1">
      <alignment vertical="center" wrapText="1"/>
    </xf>
    <xf numFmtId="0" fontId="4" fillId="2" borderId="0" xfId="0" applyFont="1" applyFill="1" applyAlignment="1">
      <alignment horizontal="center" vertical="top"/>
    </xf>
    <xf numFmtId="0" fontId="3" fillId="2" borderId="0" xfId="0" applyFont="1" applyFill="1" applyAlignment="1">
      <alignment horizontal="center"/>
    </xf>
    <xf numFmtId="0" fontId="22" fillId="10" borderId="48" xfId="0" applyFont="1" applyFill="1" applyBorder="1" applyAlignment="1">
      <alignment horizontal="center"/>
    </xf>
    <xf numFmtId="0" fontId="22" fillId="10" borderId="21" xfId="0" applyFont="1" applyFill="1" applyBorder="1" applyAlignment="1">
      <alignment horizontal="center"/>
    </xf>
    <xf numFmtId="0" fontId="2" fillId="0" borderId="0" xfId="0" applyFont="1"/>
    <xf numFmtId="0" fontId="35" fillId="2" borderId="0" xfId="0" applyFont="1" applyFill="1"/>
    <xf numFmtId="0" fontId="15" fillId="2" borderId="48" xfId="0" applyFont="1" applyFill="1" applyBorder="1" applyAlignment="1">
      <alignment horizontal="center"/>
    </xf>
    <xf numFmtId="0" fontId="15" fillId="2" borderId="21" xfId="0" applyFont="1" applyFill="1" applyBorder="1" applyAlignment="1">
      <alignment horizontal="center"/>
    </xf>
    <xf numFmtId="0" fontId="0" fillId="2" borderId="21" xfId="0" applyFill="1" applyBorder="1"/>
    <xf numFmtId="0" fontId="31" fillId="2" borderId="0" xfId="0" applyFont="1" applyFill="1"/>
    <xf numFmtId="0" fontId="0" fillId="11" borderId="32" xfId="0" applyFill="1" applyBorder="1" applyAlignment="1">
      <alignment horizontal="right" vertical="center" wrapText="1"/>
    </xf>
    <xf numFmtId="0" fontId="44" fillId="2" borderId="0" xfId="0" applyFont="1" applyFill="1"/>
    <xf numFmtId="0" fontId="33" fillId="16" borderId="27" xfId="0" applyFont="1" applyFill="1" applyBorder="1" applyAlignment="1">
      <alignment horizontal="center"/>
    </xf>
    <xf numFmtId="168" fontId="4" fillId="16" borderId="48" xfId="0" applyNumberFormat="1" applyFont="1" applyFill="1" applyBorder="1" applyAlignment="1">
      <alignment horizontal="center" vertical="center" wrapText="1"/>
    </xf>
    <xf numFmtId="168" fontId="4" fillId="16" borderId="21" xfId="0" applyNumberFormat="1" applyFont="1" applyFill="1" applyBorder="1" applyAlignment="1">
      <alignment horizontal="center" vertical="center" wrapText="1"/>
    </xf>
    <xf numFmtId="0" fontId="0" fillId="11" borderId="49" xfId="0" applyFill="1" applyBorder="1" applyAlignment="1">
      <alignment horizontal="left" vertical="center" wrapText="1"/>
    </xf>
    <xf numFmtId="177" fontId="24" fillId="6" borderId="21" xfId="0" applyNumberFormat="1" applyFont="1" applyFill="1" applyBorder="1" applyAlignment="1">
      <alignment horizontal="center" vertical="center" wrapText="1"/>
    </xf>
    <xf numFmtId="0" fontId="0" fillId="12" borderId="49" xfId="0" applyFill="1" applyBorder="1" applyAlignment="1">
      <alignment horizontal="left" vertical="center" wrapText="1"/>
    </xf>
    <xf numFmtId="177" fontId="41" fillId="33" borderId="21" xfId="0" applyNumberFormat="1" applyFont="1" applyFill="1" applyBorder="1" applyAlignment="1">
      <alignment horizontal="center" vertical="center" wrapText="1"/>
    </xf>
    <xf numFmtId="0" fontId="2" fillId="12" borderId="223" xfId="0" applyFont="1" applyFill="1" applyBorder="1" applyAlignment="1">
      <alignment horizontal="right" vertical="center" wrapText="1"/>
    </xf>
    <xf numFmtId="165" fontId="24" fillId="6" borderId="21" xfId="0" applyNumberFormat="1" applyFont="1" applyFill="1" applyBorder="1" applyAlignment="1">
      <alignment horizontal="center" vertical="center" wrapText="1"/>
    </xf>
    <xf numFmtId="0" fontId="15" fillId="10" borderId="0" xfId="0" applyFont="1" applyFill="1" applyAlignment="1">
      <alignment horizontal="center" vertical="center" wrapText="1"/>
    </xf>
    <xf numFmtId="0" fontId="45" fillId="2" borderId="0" xfId="0" applyFont="1" applyFill="1"/>
    <xf numFmtId="0" fontId="33" fillId="16" borderId="104" xfId="0" applyFont="1" applyFill="1" applyBorder="1" applyAlignment="1">
      <alignment horizontal="center"/>
    </xf>
    <xf numFmtId="168" fontId="4" fillId="16" borderId="0" xfId="0" applyNumberFormat="1" applyFont="1" applyFill="1" applyAlignment="1">
      <alignment horizontal="center" vertical="center" wrapText="1"/>
    </xf>
    <xf numFmtId="165" fontId="34" fillId="6" borderId="21" xfId="0" applyNumberFormat="1" applyFont="1" applyFill="1" applyBorder="1" applyAlignment="1">
      <alignment horizontal="center" vertical="center" wrapText="1"/>
    </xf>
    <xf numFmtId="187" fontId="107" fillId="33" borderId="21" xfId="0" applyNumberFormat="1" applyFont="1" applyFill="1" applyBorder="1" applyAlignment="1">
      <alignment horizontal="center" vertical="center" wrapText="1"/>
    </xf>
    <xf numFmtId="0" fontId="141" fillId="2" borderId="0" xfId="0" applyFont="1" applyFill="1"/>
    <xf numFmtId="176" fontId="24" fillId="6" borderId="22" xfId="0" applyNumberFormat="1" applyFont="1" applyFill="1" applyBorder="1" applyAlignment="1">
      <alignment horizontal="center" vertical="center" wrapText="1"/>
    </xf>
    <xf numFmtId="176" fontId="24" fillId="6" borderId="0" xfId="0" applyNumberFormat="1" applyFont="1" applyFill="1" applyAlignment="1">
      <alignment horizontal="center" vertical="center" wrapText="1"/>
    </xf>
    <xf numFmtId="0" fontId="81" fillId="10" borderId="110" xfId="0" applyFont="1" applyFill="1" applyBorder="1" applyAlignment="1">
      <alignment horizontal="center" vertical="center" wrapText="1"/>
    </xf>
    <xf numFmtId="0" fontId="81" fillId="10" borderId="0" xfId="0" applyFont="1" applyFill="1" applyAlignment="1">
      <alignment horizontal="center" vertical="center" wrapText="1"/>
    </xf>
    <xf numFmtId="0" fontId="46" fillId="2" borderId="0" xfId="0" applyFont="1" applyFill="1"/>
    <xf numFmtId="0" fontId="4" fillId="6" borderId="34" xfId="0" applyFont="1" applyFill="1" applyBorder="1" applyAlignment="1">
      <alignment horizontal="right" vertical="center" wrapText="1"/>
    </xf>
    <xf numFmtId="175" fontId="4" fillId="6" borderId="35" xfId="0" applyNumberFormat="1" applyFont="1" applyFill="1" applyBorder="1" applyAlignment="1">
      <alignment horizontal="center" vertical="center" wrapText="1"/>
    </xf>
    <xf numFmtId="0" fontId="27" fillId="2" borderId="0" xfId="0" applyFont="1" applyFill="1"/>
    <xf numFmtId="0" fontId="4" fillId="6" borderId="36" xfId="0" applyFont="1" applyFill="1" applyBorder="1" applyAlignment="1">
      <alignment horizontal="right" vertical="center" wrapText="1"/>
    </xf>
    <xf numFmtId="175" fontId="4" fillId="6" borderId="38" xfId="0" applyNumberFormat="1" applyFont="1" applyFill="1" applyBorder="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horizontal="left" vertical="center" wrapText="1"/>
    </xf>
    <xf numFmtId="175" fontId="4" fillId="2" borderId="0" xfId="0" applyNumberFormat="1" applyFont="1" applyFill="1" applyAlignment="1">
      <alignment horizontal="justify" vertical="center" wrapText="1"/>
    </xf>
    <xf numFmtId="175" fontId="4" fillId="2" borderId="0" xfId="0" applyNumberFormat="1" applyFont="1" applyFill="1" applyAlignment="1">
      <alignment horizontal="center" vertical="center" wrapText="1"/>
    </xf>
    <xf numFmtId="0" fontId="81" fillId="10" borderId="208" xfId="0" applyFont="1" applyFill="1" applyBorder="1" applyAlignment="1">
      <alignment horizontal="center" vertical="center" wrapText="1"/>
    </xf>
    <xf numFmtId="165" fontId="4" fillId="31" borderId="0" xfId="0" applyNumberFormat="1" applyFont="1" applyFill="1" applyAlignment="1">
      <alignment vertical="center" wrapText="1"/>
    </xf>
    <xf numFmtId="0" fontId="0" fillId="2" borderId="0" xfId="0" applyFill="1" applyAlignment="1">
      <alignment horizontal="left"/>
    </xf>
    <xf numFmtId="0" fontId="4" fillId="6" borderId="110" xfId="0" applyFont="1" applyFill="1" applyBorder="1" applyAlignment="1">
      <alignment horizontal="left" vertical="center" wrapText="1"/>
    </xf>
    <xf numFmtId="0" fontId="41" fillId="11" borderId="0" xfId="0" applyFont="1" applyFill="1" applyAlignment="1">
      <alignment vertical="center" wrapText="1"/>
    </xf>
    <xf numFmtId="0" fontId="41" fillId="11" borderId="0" xfId="0" applyFont="1" applyFill="1" applyAlignment="1">
      <alignment horizontal="left" vertical="center" wrapText="1"/>
    </xf>
    <xf numFmtId="0" fontId="4" fillId="6" borderId="201" xfId="0" applyFont="1" applyFill="1" applyBorder="1" applyAlignment="1">
      <alignment horizontal="left" vertical="center" wrapText="1"/>
    </xf>
    <xf numFmtId="0" fontId="15" fillId="2" borderId="0" xfId="0" applyFont="1" applyFill="1" applyAlignment="1">
      <alignment horizontal="left" vertical="center" wrapText="1"/>
    </xf>
    <xf numFmtId="0" fontId="29" fillId="2" borderId="0" xfId="0" applyFont="1" applyFill="1" applyAlignment="1">
      <alignment horizontal="left"/>
    </xf>
    <xf numFmtId="0" fontId="0" fillId="0" borderId="0" xfId="0" applyAlignment="1">
      <alignment horizontal="left"/>
    </xf>
    <xf numFmtId="0" fontId="81" fillId="10" borderId="108" xfId="0" applyFont="1" applyFill="1" applyBorder="1" applyAlignment="1">
      <alignment vertical="center" wrapText="1"/>
    </xf>
    <xf numFmtId="0" fontId="14" fillId="2" borderId="0" xfId="0" applyFont="1" applyFill="1" applyAlignment="1">
      <alignment horizontal="center" vertical="center" wrapText="1"/>
    </xf>
    <xf numFmtId="165" fontId="4" fillId="2" borderId="0" xfId="0" applyNumberFormat="1" applyFont="1" applyFill="1" applyAlignment="1">
      <alignment horizontal="justify" vertical="center" wrapText="1"/>
    </xf>
    <xf numFmtId="0" fontId="9" fillId="2" borderId="0" xfId="0" applyFont="1" applyFill="1" applyAlignment="1">
      <alignment horizontal="center" vertical="center" wrapText="1"/>
    </xf>
    <xf numFmtId="0" fontId="9" fillId="10" borderId="0" xfId="0" applyFont="1" applyFill="1"/>
    <xf numFmtId="169" fontId="24" fillId="11" borderId="27" xfId="0" applyNumberFormat="1" applyFont="1" applyFill="1" applyBorder="1" applyAlignment="1">
      <alignment horizontal="left" vertical="center" wrapText="1"/>
    </xf>
    <xf numFmtId="1" fontId="34" fillId="6" borderId="25" xfId="0" applyNumberFormat="1" applyFont="1" applyFill="1" applyBorder="1" applyAlignment="1">
      <alignment horizontal="right" vertical="center"/>
    </xf>
    <xf numFmtId="0" fontId="32" fillId="6" borderId="24" xfId="0" applyFont="1" applyFill="1" applyBorder="1" applyAlignment="1">
      <alignment horizontal="left" vertical="center"/>
    </xf>
    <xf numFmtId="0" fontId="32" fillId="6" borderId="0" xfId="0" applyFont="1" applyFill="1"/>
    <xf numFmtId="0" fontId="47" fillId="2" borderId="25" xfId="0" applyFont="1" applyFill="1" applyBorder="1" applyAlignment="1">
      <alignment horizontal="left" vertical="center"/>
    </xf>
    <xf numFmtId="0" fontId="47" fillId="2" borderId="30" xfId="0" applyFont="1" applyFill="1" applyBorder="1" applyAlignment="1">
      <alignment horizontal="left" vertical="center"/>
    </xf>
    <xf numFmtId="0" fontId="47" fillId="2" borderId="113" xfId="0" applyFont="1" applyFill="1" applyBorder="1" applyAlignment="1">
      <alignment horizontal="left" vertical="center"/>
    </xf>
    <xf numFmtId="0" fontId="9" fillId="6" borderId="0" xfId="0" applyFont="1" applyFill="1"/>
    <xf numFmtId="169" fontId="0" fillId="11" borderId="21" xfId="0" applyNumberFormat="1" applyFill="1" applyBorder="1" applyAlignment="1">
      <alignment horizontal="left" vertical="center" wrapText="1"/>
    </xf>
    <xf numFmtId="0" fontId="10" fillId="6" borderId="0" xfId="0" applyFont="1" applyFill="1" applyAlignment="1">
      <alignment horizontal="right" vertical="center"/>
    </xf>
    <xf numFmtId="170" fontId="0" fillId="11" borderId="21" xfId="0" applyNumberFormat="1" applyFill="1" applyBorder="1" applyAlignment="1">
      <alignment horizontal="left" vertical="center" wrapText="1"/>
    </xf>
    <xf numFmtId="1" fontId="33" fillId="6" borderId="23" xfId="0" applyNumberFormat="1" applyFont="1" applyFill="1" applyBorder="1" applyAlignment="1">
      <alignment horizontal="right" vertical="center"/>
    </xf>
    <xf numFmtId="0" fontId="89" fillId="6" borderId="24" xfId="0" applyFont="1" applyFill="1" applyBorder="1" applyAlignment="1">
      <alignment horizontal="left" vertical="center"/>
    </xf>
    <xf numFmtId="171" fontId="0" fillId="11" borderId="21" xfId="0" applyNumberFormat="1" applyFill="1" applyBorder="1" applyAlignment="1">
      <alignment horizontal="left" vertical="center" wrapText="1"/>
    </xf>
    <xf numFmtId="0" fontId="93" fillId="6" borderId="24" xfId="0" applyFont="1" applyFill="1" applyBorder="1" applyAlignment="1">
      <alignment horizontal="left" vertical="center"/>
    </xf>
    <xf numFmtId="172" fontId="0" fillId="11" borderId="21" xfId="0" applyNumberFormat="1" applyFill="1" applyBorder="1" applyAlignment="1">
      <alignment horizontal="left" vertical="center" wrapText="1"/>
    </xf>
    <xf numFmtId="0" fontId="4" fillId="6" borderId="0" xfId="0" applyFont="1" applyFill="1" applyAlignment="1">
      <alignment horizontal="right"/>
    </xf>
    <xf numFmtId="178" fontId="0" fillId="2" borderId="0" xfId="0" applyNumberFormat="1" applyFill="1"/>
    <xf numFmtId="0" fontId="4" fillId="3" borderId="48" xfId="0" applyFont="1" applyFill="1" applyBorder="1" applyAlignment="1">
      <alignment horizontal="justify" vertical="center" wrapText="1"/>
    </xf>
    <xf numFmtId="0" fontId="4" fillId="3" borderId="21" xfId="0" applyFont="1" applyFill="1" applyBorder="1" applyAlignment="1">
      <alignment horizontal="justify" vertical="center" wrapText="1"/>
    </xf>
    <xf numFmtId="0" fontId="4" fillId="3" borderId="27" xfId="0" applyFont="1" applyFill="1" applyBorder="1" applyAlignment="1">
      <alignment horizontal="justify" vertical="center" wrapText="1"/>
    </xf>
    <xf numFmtId="0" fontId="4" fillId="3" borderId="33" xfId="0" applyFont="1" applyFill="1" applyBorder="1" applyAlignment="1">
      <alignment horizontal="justify" vertical="center" wrapText="1"/>
    </xf>
    <xf numFmtId="0" fontId="0" fillId="11" borderId="27" xfId="0" applyFill="1" applyBorder="1"/>
    <xf numFmtId="0" fontId="0" fillId="11" borderId="21" xfId="0" applyFill="1" applyBorder="1"/>
    <xf numFmtId="0" fontId="40" fillId="13" borderId="21" xfId="0" applyFont="1" applyFill="1" applyBorder="1" applyAlignment="1">
      <alignment horizontal="justify" vertical="center" wrapText="1"/>
    </xf>
    <xf numFmtId="0" fontId="40" fillId="13" borderId="33" xfId="0" applyFont="1" applyFill="1" applyBorder="1" applyAlignment="1">
      <alignment horizontal="justify" vertical="center" wrapText="1"/>
    </xf>
    <xf numFmtId="0" fontId="40" fillId="13" borderId="48" xfId="0" applyFont="1" applyFill="1" applyBorder="1" applyAlignment="1">
      <alignment horizontal="justify" vertical="center" wrapText="1"/>
    </xf>
    <xf numFmtId="0" fontId="0" fillId="11" borderId="22" xfId="0" applyFill="1" applyBorder="1"/>
    <xf numFmtId="0" fontId="4" fillId="10" borderId="0" xfId="0" applyFont="1" applyFill="1" applyAlignment="1">
      <alignment horizontal="justify" vertical="center" wrapText="1"/>
    </xf>
    <xf numFmtId="172" fontId="137" fillId="0" borderId="20" xfId="0" applyNumberFormat="1" applyFont="1" applyBorder="1"/>
    <xf numFmtId="173" fontId="0" fillId="11" borderId="22" xfId="0" applyNumberFormat="1" applyFill="1" applyBorder="1" applyAlignment="1">
      <alignment horizontal="left" vertical="center" wrapText="1"/>
    </xf>
    <xf numFmtId="0" fontId="4" fillId="6" borderId="0" xfId="0" applyFont="1" applyFill="1"/>
    <xf numFmtId="0" fontId="38" fillId="6" borderId="0" xfId="0" applyFont="1" applyFill="1"/>
    <xf numFmtId="0" fontId="4" fillId="3" borderId="26" xfId="0" applyFont="1" applyFill="1" applyBorder="1" applyAlignment="1">
      <alignment horizontal="justify" vertical="center" wrapText="1"/>
    </xf>
    <xf numFmtId="0" fontId="4" fillId="3" borderId="43" xfId="0" applyFont="1" applyFill="1" applyBorder="1" applyAlignment="1">
      <alignment horizontal="justify" vertical="center" wrapText="1"/>
    </xf>
    <xf numFmtId="0" fontId="4" fillId="11" borderId="27" xfId="0" applyFont="1" applyFill="1" applyBorder="1" applyAlignment="1">
      <alignment horizontal="left"/>
    </xf>
    <xf numFmtId="0" fontId="4" fillId="11" borderId="21" xfId="0" applyFont="1" applyFill="1" applyBorder="1" applyAlignment="1">
      <alignment horizontal="left"/>
    </xf>
    <xf numFmtId="0" fontId="4" fillId="11" borderId="22" xfId="0" applyFont="1" applyFill="1" applyBorder="1" applyAlignment="1">
      <alignment horizontal="left"/>
    </xf>
    <xf numFmtId="0" fontId="81" fillId="10" borderId="160" xfId="0" applyFont="1" applyFill="1" applyBorder="1" applyAlignment="1">
      <alignment horizontal="center" vertical="center" wrapText="1"/>
    </xf>
    <xf numFmtId="0" fontId="81" fillId="10" borderId="16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horizontal="left" vertical="center"/>
    </xf>
    <xf numFmtId="0" fontId="24" fillId="6" borderId="0" xfId="0" applyFont="1" applyFill="1" applyAlignment="1">
      <alignment vertical="center" wrapText="1"/>
    </xf>
    <xf numFmtId="0" fontId="24" fillId="6" borderId="35" xfId="0" applyFont="1" applyFill="1" applyBorder="1" applyAlignment="1">
      <alignment vertical="center" wrapText="1"/>
    </xf>
    <xf numFmtId="0" fontId="11" fillId="2" borderId="0" xfId="0" applyFont="1" applyFill="1"/>
    <xf numFmtId="0" fontId="50" fillId="6" borderId="37" xfId="0" applyFont="1" applyFill="1" applyBorder="1" applyAlignment="1">
      <alignment horizontal="center" vertical="center" wrapText="1"/>
    </xf>
    <xf numFmtId="0" fontId="50" fillId="6" borderId="38" xfId="0" applyFont="1" applyFill="1" applyBorder="1" applyAlignment="1">
      <alignment horizontal="center" vertical="center" wrapText="1"/>
    </xf>
    <xf numFmtId="0" fontId="11" fillId="0" borderId="0" xfId="0" applyFont="1"/>
    <xf numFmtId="0" fontId="13" fillId="2" borderId="0" xfId="0" applyFont="1" applyFill="1"/>
    <xf numFmtId="0" fontId="22" fillId="10" borderId="159" xfId="0" applyFont="1" applyFill="1" applyBorder="1" applyAlignment="1">
      <alignment horizontal="center" vertical="center" wrapText="1"/>
    </xf>
    <xf numFmtId="0" fontId="11" fillId="16" borderId="0" xfId="0" applyFont="1" applyFill="1"/>
    <xf numFmtId="0" fontId="4" fillId="16" borderId="0" xfId="0" applyFont="1" applyFill="1"/>
    <xf numFmtId="0" fontId="0" fillId="16" borderId="35" xfId="0" applyFill="1" applyBorder="1"/>
    <xf numFmtId="192" fontId="0" fillId="6" borderId="21" xfId="0" applyNumberFormat="1" applyFill="1" applyBorder="1"/>
    <xf numFmtId="9" fontId="0" fillId="28" borderId="21" xfId="3" applyFont="1" applyFill="1" applyBorder="1" applyAlignment="1" applyProtection="1">
      <alignment horizontal="center" vertical="center"/>
    </xf>
    <xf numFmtId="9" fontId="0" fillId="6" borderId="21" xfId="3" applyFont="1" applyFill="1" applyBorder="1" applyAlignment="1" applyProtection="1">
      <alignment horizontal="center" vertical="center"/>
    </xf>
    <xf numFmtId="0" fontId="20" fillId="16" borderId="0" xfId="0" applyFont="1" applyFill="1"/>
    <xf numFmtId="0" fontId="21" fillId="16" borderId="0" xfId="0" applyFont="1" applyFill="1"/>
    <xf numFmtId="0" fontId="58" fillId="16" borderId="0" xfId="0" applyFont="1" applyFill="1" applyAlignment="1">
      <alignment horizontal="center" vertical="center"/>
    </xf>
    <xf numFmtId="0" fontId="13" fillId="16" borderId="35" xfId="0" applyFont="1" applyFill="1" applyBorder="1"/>
    <xf numFmtId="9" fontId="0" fillId="33" borderId="21" xfId="0" applyNumberFormat="1" applyFill="1" applyBorder="1"/>
    <xf numFmtId="0" fontId="4" fillId="16" borderId="0" xfId="0" applyFont="1" applyFill="1" applyAlignment="1">
      <alignment horizontal="right" vertical="center"/>
    </xf>
    <xf numFmtId="9" fontId="0" fillId="16" borderId="0" xfId="3" applyFont="1" applyFill="1" applyProtection="1"/>
    <xf numFmtId="0" fontId="4" fillId="16" borderId="0" xfId="0" applyFont="1" applyFill="1" applyAlignment="1">
      <alignment horizontal="left" vertical="center"/>
    </xf>
    <xf numFmtId="0" fontId="18" fillId="16" borderId="0" xfId="0" applyFont="1" applyFill="1" applyAlignment="1">
      <alignment horizontal="left" vertical="center"/>
    </xf>
    <xf numFmtId="0" fontId="17" fillId="16" borderId="0" xfId="0" applyFont="1" applyFill="1" applyAlignment="1">
      <alignment horizontal="center" vertical="center" wrapText="1"/>
    </xf>
    <xf numFmtId="0" fontId="4" fillId="16" borderId="0" xfId="0" applyFont="1" applyFill="1" applyAlignment="1">
      <alignment vertical="center"/>
    </xf>
    <xf numFmtId="9" fontId="0" fillId="6" borderId="21" xfId="0" applyNumberFormat="1" applyFill="1" applyBorder="1"/>
    <xf numFmtId="0" fontId="15" fillId="16" borderId="0" xfId="0" applyFont="1" applyFill="1" applyAlignment="1">
      <alignment horizontal="center" wrapText="1"/>
    </xf>
    <xf numFmtId="0" fontId="4" fillId="16" borderId="34" xfId="0" applyFont="1" applyFill="1" applyBorder="1" applyAlignment="1">
      <alignment wrapText="1"/>
    </xf>
    <xf numFmtId="0" fontId="4" fillId="16" borderId="0" xfId="0" applyFont="1" applyFill="1" applyAlignment="1">
      <alignment wrapText="1"/>
    </xf>
    <xf numFmtId="9" fontId="4" fillId="16" borderId="0" xfId="0" applyNumberFormat="1" applyFont="1" applyFill="1"/>
    <xf numFmtId="0" fontId="0" fillId="16" borderId="34" xfId="0" applyFill="1" applyBorder="1"/>
    <xf numFmtId="0" fontId="19" fillId="6" borderId="17" xfId="0" applyFont="1" applyFill="1" applyBorder="1"/>
    <xf numFmtId="0" fontId="0" fillId="6" borderId="14" xfId="0" applyFill="1" applyBorder="1"/>
    <xf numFmtId="0" fontId="19" fillId="6" borderId="14" xfId="0" applyFont="1" applyFill="1" applyBorder="1"/>
    <xf numFmtId="0" fontId="0" fillId="6" borderId="15" xfId="0" applyFill="1" applyBorder="1"/>
    <xf numFmtId="0" fontId="94" fillId="16" borderId="34" xfId="0" applyFont="1" applyFill="1" applyBorder="1"/>
    <xf numFmtId="0" fontId="32" fillId="6" borderId="7" xfId="0" applyFont="1" applyFill="1" applyBorder="1" applyAlignment="1">
      <alignment vertical="top"/>
    </xf>
    <xf numFmtId="0" fontId="9" fillId="6" borderId="0" xfId="0" applyFont="1" applyFill="1" applyAlignment="1">
      <alignment vertical="top"/>
    </xf>
    <xf numFmtId="0" fontId="4" fillId="6" borderId="8" xfId="0" applyFont="1" applyFill="1" applyBorder="1"/>
    <xf numFmtId="0" fontId="4" fillId="16" borderId="34" xfId="0" applyFont="1" applyFill="1" applyBorder="1"/>
    <xf numFmtId="0" fontId="32" fillId="6" borderId="7" xfId="0" applyFont="1" applyFill="1" applyBorder="1" applyAlignment="1">
      <alignment vertical="center"/>
    </xf>
    <xf numFmtId="0" fontId="9" fillId="6" borderId="0" xfId="0" applyFont="1" applyFill="1" applyAlignment="1">
      <alignment vertical="center"/>
    </xf>
    <xf numFmtId="0" fontId="32" fillId="6" borderId="18" xfId="0" applyFont="1" applyFill="1" applyBorder="1" applyAlignment="1">
      <alignment vertical="top"/>
    </xf>
    <xf numFmtId="0" fontId="4" fillId="6" borderId="13" xfId="0" applyFont="1" applyFill="1" applyBorder="1"/>
    <xf numFmtId="0" fontId="9" fillId="6" borderId="13" xfId="0" applyFont="1" applyFill="1" applyBorder="1" applyAlignment="1">
      <alignment vertical="top"/>
    </xf>
    <xf numFmtId="0" fontId="4" fillId="6" borderId="16" xfId="0" applyFont="1" applyFill="1" applyBorder="1"/>
    <xf numFmtId="0" fontId="16" fillId="2" borderId="0" xfId="0" applyFont="1" applyFill="1" applyAlignment="1">
      <alignment horizontal="center" vertical="center"/>
    </xf>
    <xf numFmtId="0" fontId="3" fillId="2" borderId="0" xfId="0" applyFont="1" applyFill="1" applyAlignment="1">
      <alignment wrapText="1"/>
    </xf>
    <xf numFmtId="0" fontId="0" fillId="2" borderId="0" xfId="0" applyFill="1" applyAlignment="1">
      <alignment wrapText="1"/>
    </xf>
    <xf numFmtId="0" fontId="4" fillId="16" borderId="36" xfId="0" applyFont="1" applyFill="1" applyBorder="1"/>
    <xf numFmtId="0" fontId="4" fillId="16" borderId="37" xfId="0" applyFont="1" applyFill="1" applyBorder="1"/>
    <xf numFmtId="0" fontId="0" fillId="16" borderId="38" xfId="0" applyFill="1" applyBorder="1"/>
    <xf numFmtId="0" fontId="0" fillId="2" borderId="0" xfId="0" applyFill="1" applyAlignment="1">
      <alignment horizontal="center" wrapText="1"/>
    </xf>
    <xf numFmtId="0" fontId="32" fillId="16" borderId="0" xfId="0" applyFont="1" applyFill="1"/>
    <xf numFmtId="0" fontId="102" fillId="10" borderId="194" xfId="0" applyFont="1" applyFill="1" applyBorder="1" applyAlignment="1">
      <alignment horizontal="center"/>
    </xf>
    <xf numFmtId="0" fontId="102" fillId="10" borderId="0" xfId="0" applyFont="1" applyFill="1" applyAlignment="1">
      <alignment horizontal="center"/>
    </xf>
    <xf numFmtId="0" fontId="99" fillId="10" borderId="0" xfId="0" applyFont="1" applyFill="1" applyAlignment="1">
      <alignment horizontal="center" vertical="center"/>
    </xf>
    <xf numFmtId="0" fontId="99" fillId="10" borderId="0" xfId="0" applyFont="1" applyFill="1" applyAlignment="1">
      <alignment horizontal="center" vertical="center" wrapText="1"/>
    </xf>
    <xf numFmtId="0" fontId="102" fillId="10" borderId="195" xfId="0" applyFont="1" applyFill="1" applyBorder="1" applyAlignment="1">
      <alignment horizontal="center"/>
    </xf>
    <xf numFmtId="184" fontId="40" fillId="6" borderId="21" xfId="0" applyNumberFormat="1" applyFont="1" applyFill="1" applyBorder="1" applyAlignment="1">
      <alignment vertical="center"/>
    </xf>
    <xf numFmtId="184" fontId="40" fillId="6" borderId="21" xfId="0" applyNumberFormat="1" applyFont="1" applyFill="1" applyBorder="1" applyAlignment="1">
      <alignment horizontal="right"/>
    </xf>
    <xf numFmtId="0" fontId="24" fillId="11" borderId="0" xfId="0" applyFont="1" applyFill="1" applyAlignment="1">
      <alignment horizontal="center"/>
    </xf>
    <xf numFmtId="0" fontId="10" fillId="16" borderId="195" xfId="0" applyFont="1" applyFill="1" applyBorder="1"/>
    <xf numFmtId="184" fontId="16" fillId="31" borderId="0" xfId="0" applyNumberFormat="1" applyFont="1" applyFill="1" applyAlignment="1">
      <alignment horizontal="center" vertical="center"/>
    </xf>
    <xf numFmtId="0" fontId="30" fillId="16" borderId="195" xfId="0" applyFont="1" applyFill="1" applyBorder="1"/>
    <xf numFmtId="165" fontId="40" fillId="6" borderId="21" xfId="0" applyNumberFormat="1" applyFont="1" applyFill="1" applyBorder="1"/>
    <xf numFmtId="0" fontId="0" fillId="16" borderId="0" xfId="0" applyFill="1" applyAlignment="1">
      <alignment wrapText="1"/>
    </xf>
    <xf numFmtId="9" fontId="40" fillId="6" borderId="21" xfId="0" applyNumberFormat="1" applyFont="1" applyFill="1" applyBorder="1" applyAlignment="1">
      <alignment vertical="center"/>
    </xf>
    <xf numFmtId="9" fontId="40" fillId="6" borderId="21" xfId="3" applyFont="1" applyFill="1" applyBorder="1" applyProtection="1"/>
    <xf numFmtId="0" fontId="85" fillId="16" borderId="0" xfId="0" applyFont="1" applyFill="1"/>
    <xf numFmtId="0" fontId="40" fillId="6" borderId="21" xfId="0" applyFont="1" applyFill="1" applyBorder="1"/>
    <xf numFmtId="178" fontId="40" fillId="6" borderId="21" xfId="0" applyNumberFormat="1" applyFont="1" applyFill="1" applyBorder="1"/>
    <xf numFmtId="1" fontId="40" fillId="6" borderId="21" xfId="0" applyNumberFormat="1" applyFont="1" applyFill="1" applyBorder="1" applyAlignment="1">
      <alignment vertical="center"/>
    </xf>
    <xf numFmtId="1" fontId="40" fillId="6" borderId="21" xfId="0" applyNumberFormat="1" applyFont="1" applyFill="1" applyBorder="1"/>
    <xf numFmtId="188" fontId="40" fillId="6" borderId="21" xfId="0" applyNumberFormat="1" applyFont="1" applyFill="1" applyBorder="1"/>
    <xf numFmtId="0" fontId="144" fillId="16" borderId="0" xfId="0" applyFont="1" applyFill="1"/>
    <xf numFmtId="0" fontId="82" fillId="9" borderId="177" xfId="0" applyFont="1" applyFill="1" applyBorder="1" applyAlignment="1">
      <alignment horizontal="left"/>
    </xf>
    <xf numFmtId="0" fontId="82" fillId="9" borderId="31" xfId="0" applyFont="1" applyFill="1" applyBorder="1" applyAlignment="1">
      <alignment horizontal="center"/>
    </xf>
    <xf numFmtId="0" fontId="81" fillId="10" borderId="143" xfId="0" applyFont="1" applyFill="1" applyBorder="1" applyAlignment="1">
      <alignment horizontal="center" vertical="center"/>
    </xf>
    <xf numFmtId="0" fontId="9" fillId="2" borderId="0" xfId="0" applyFont="1" applyFill="1" applyAlignment="1">
      <alignment horizontal="center" wrapText="1"/>
    </xf>
    <xf numFmtId="165" fontId="63" fillId="13" borderId="142" xfId="0" applyNumberFormat="1" applyFont="1" applyFill="1" applyBorder="1" applyAlignment="1">
      <alignment horizontal="left" vertical="center"/>
    </xf>
    <xf numFmtId="165" fontId="41" fillId="0" borderId="22" xfId="0" applyNumberFormat="1" applyFont="1" applyBorder="1"/>
    <xf numFmtId="0" fontId="33" fillId="6" borderId="0" xfId="0" applyFont="1" applyFill="1" applyAlignment="1">
      <alignment horizontal="center" wrapText="1"/>
    </xf>
    <xf numFmtId="0" fontId="33" fillId="6" borderId="215" xfId="0" applyFont="1" applyFill="1" applyBorder="1" applyAlignment="1">
      <alignment horizontal="center" wrapText="1"/>
    </xf>
    <xf numFmtId="167" fontId="4" fillId="2" borderId="0" xfId="0" applyNumberFormat="1" applyFont="1" applyFill="1" applyAlignment="1">
      <alignment horizontal="center" wrapText="1"/>
    </xf>
    <xf numFmtId="165" fontId="0" fillId="6" borderId="21" xfId="0" applyNumberFormat="1" applyFill="1" applyBorder="1" applyAlignment="1">
      <alignment horizontal="center" vertical="center" wrapText="1"/>
    </xf>
    <xf numFmtId="165" fontId="0" fillId="6" borderId="22" xfId="0" applyNumberFormat="1" applyFill="1" applyBorder="1" applyAlignment="1">
      <alignment horizontal="center" vertical="center" wrapText="1"/>
    </xf>
    <xf numFmtId="191" fontId="41" fillId="6" borderId="28" xfId="0" applyNumberFormat="1" applyFont="1" applyFill="1" applyBorder="1" applyAlignment="1">
      <alignment horizontal="center"/>
    </xf>
    <xf numFmtId="0" fontId="41" fillId="6" borderId="47" xfId="0" applyFont="1" applyFill="1" applyBorder="1" applyAlignment="1">
      <alignment horizontal="left"/>
    </xf>
    <xf numFmtId="0" fontId="41" fillId="6" borderId="47" xfId="0" applyFont="1" applyFill="1" applyBorder="1"/>
    <xf numFmtId="0" fontId="41" fillId="6" borderId="48" xfId="0" applyFont="1" applyFill="1" applyBorder="1"/>
    <xf numFmtId="0" fontId="64" fillId="6" borderId="22" xfId="0" applyFont="1" applyFill="1" applyBorder="1" applyAlignment="1">
      <alignment horizontal="center"/>
    </xf>
    <xf numFmtId="0" fontId="64" fillId="6" borderId="183" xfId="0" applyFont="1" applyFill="1" applyBorder="1" applyAlignment="1">
      <alignment horizontal="center"/>
    </xf>
    <xf numFmtId="0" fontId="23" fillId="2" borderId="0" xfId="2" applyFill="1" applyBorder="1" applyAlignment="1" applyProtection="1">
      <alignment horizontal="center" vertical="center"/>
    </xf>
    <xf numFmtId="166" fontId="12" fillId="6" borderId="21" xfId="0" applyNumberFormat="1" applyFont="1" applyFill="1" applyBorder="1" applyAlignment="1">
      <alignment horizontal="center" vertical="center"/>
    </xf>
    <xf numFmtId="166" fontId="0" fillId="6" borderId="21" xfId="0" applyNumberFormat="1" applyFill="1" applyBorder="1"/>
    <xf numFmtId="0" fontId="64" fillId="6" borderId="23" xfId="0" applyFont="1" applyFill="1" applyBorder="1"/>
    <xf numFmtId="0" fontId="64" fillId="6" borderId="47" xfId="0" applyFont="1" applyFill="1" applyBorder="1"/>
    <xf numFmtId="0" fontId="64" fillId="6" borderId="214" xfId="0" applyFont="1" applyFill="1" applyBorder="1"/>
    <xf numFmtId="0" fontId="63" fillId="13" borderId="142" xfId="0" applyFont="1" applyFill="1" applyBorder="1" applyAlignment="1">
      <alignment horizontal="center" vertical="center"/>
    </xf>
    <xf numFmtId="0" fontId="22" fillId="2" borderId="0" xfId="0" applyFont="1" applyFill="1" applyAlignment="1">
      <alignment horizontal="center" vertical="top"/>
    </xf>
    <xf numFmtId="0" fontId="18" fillId="2" borderId="0" xfId="0" applyFont="1" applyFill="1" applyAlignment="1">
      <alignment horizontal="center" vertical="center"/>
    </xf>
    <xf numFmtId="0" fontId="63" fillId="6" borderId="27" xfId="0" applyFont="1" applyFill="1" applyBorder="1" applyAlignment="1">
      <alignment horizontal="center" vertical="center"/>
    </xf>
    <xf numFmtId="0" fontId="0" fillId="2" borderId="0" xfId="0" applyFill="1" applyAlignment="1">
      <alignment horizontal="left" wrapText="1"/>
    </xf>
    <xf numFmtId="0" fontId="63" fillId="2" borderId="0" xfId="0" applyFont="1" applyFill="1" applyAlignment="1">
      <alignment horizontal="center" vertical="center"/>
    </xf>
    <xf numFmtId="0" fontId="64" fillId="2" borderId="0" xfId="0" applyFont="1" applyFill="1" applyAlignment="1">
      <alignment horizontal="center"/>
    </xf>
    <xf numFmtId="0" fontId="4" fillId="2" borderId="0" xfId="0" applyFont="1" applyFill="1" applyAlignment="1">
      <alignment horizontal="center" vertical="top" wrapText="1"/>
    </xf>
    <xf numFmtId="0" fontId="4" fillId="2" borderId="0" xfId="0" applyFont="1" applyFill="1" applyAlignment="1">
      <alignment vertical="top" wrapText="1"/>
    </xf>
    <xf numFmtId="0" fontId="83" fillId="10" borderId="135" xfId="0" applyFont="1" applyFill="1" applyBorder="1" applyAlignment="1">
      <alignment horizontal="center" vertical="center"/>
    </xf>
    <xf numFmtId="0" fontId="81" fillId="10" borderId="135" xfId="0" applyFont="1" applyFill="1" applyBorder="1" applyAlignment="1">
      <alignment horizontal="center" vertical="center"/>
    </xf>
    <xf numFmtId="0" fontId="81" fillId="10" borderId="105" xfId="0" applyFont="1" applyFill="1" applyBorder="1" applyAlignment="1">
      <alignment vertical="center"/>
    </xf>
    <xf numFmtId="0" fontId="81" fillId="10" borderId="94" xfId="0" applyFont="1" applyFill="1" applyBorder="1" applyAlignment="1">
      <alignment vertical="center"/>
    </xf>
    <xf numFmtId="174" fontId="0" fillId="6" borderId="48" xfId="0" applyNumberFormat="1" applyFill="1" applyBorder="1" applyAlignment="1">
      <alignment vertical="top" wrapText="1"/>
    </xf>
    <xf numFmtId="0" fontId="12" fillId="2" borderId="0" xfId="0" applyFont="1" applyFill="1" applyAlignment="1">
      <alignment vertical="top"/>
    </xf>
    <xf numFmtId="0" fontId="0" fillId="2" borderId="0" xfId="0" applyFill="1" applyAlignment="1">
      <alignment vertical="top" wrapText="1"/>
    </xf>
    <xf numFmtId="0" fontId="0" fillId="2" borderId="29" xfId="0" applyFill="1" applyBorder="1" applyAlignment="1">
      <alignment vertical="top" wrapText="1"/>
    </xf>
    <xf numFmtId="0" fontId="0" fillId="2" borderId="42" xfId="0" applyFill="1" applyBorder="1" applyAlignment="1">
      <alignment vertical="top" wrapText="1"/>
    </xf>
    <xf numFmtId="179" fontId="0" fillId="6" borderId="93" xfId="0" applyNumberFormat="1" applyFill="1" applyBorder="1" applyAlignment="1">
      <alignment horizontal="center"/>
    </xf>
    <xf numFmtId="0" fontId="0" fillId="2" borderId="0" xfId="0" applyFill="1" applyAlignment="1">
      <alignment horizontal="right" vertical="top" wrapText="1"/>
    </xf>
    <xf numFmtId="0" fontId="0" fillId="2" borderId="0" xfId="0" quotePrefix="1" applyFill="1" applyAlignment="1">
      <alignment horizontal="center" vertical="top" wrapText="1"/>
    </xf>
    <xf numFmtId="185" fontId="0" fillId="2" borderId="35" xfId="7" applyNumberFormat="1" applyFont="1" applyFill="1" applyBorder="1" applyAlignment="1" applyProtection="1">
      <alignment vertical="top" wrapText="1"/>
    </xf>
    <xf numFmtId="0" fontId="0" fillId="2" borderId="35" xfId="0" applyFill="1" applyBorder="1" applyAlignment="1">
      <alignment vertical="top" wrapText="1"/>
    </xf>
    <xf numFmtId="44" fontId="0" fillId="2" borderId="0" xfId="0" applyNumberFormat="1" applyFill="1" applyAlignment="1">
      <alignment vertical="top" wrapText="1"/>
    </xf>
    <xf numFmtId="179" fontId="12" fillId="6" borderId="4" xfId="0" applyNumberFormat="1" applyFont="1" applyFill="1" applyBorder="1" applyAlignment="1">
      <alignment horizontal="center"/>
    </xf>
    <xf numFmtId="0" fontId="12" fillId="2" borderId="0" xfId="0" applyFont="1" applyFill="1" applyAlignment="1">
      <alignment vertical="top" wrapText="1"/>
    </xf>
    <xf numFmtId="0" fontId="0" fillId="2" borderId="37" xfId="0" applyFill="1" applyBorder="1" applyAlignment="1">
      <alignment vertical="top" wrapText="1"/>
    </xf>
    <xf numFmtId="179" fontId="0" fillId="6" borderId="163" xfId="0" applyNumberFormat="1" applyFill="1" applyBorder="1" applyAlignment="1">
      <alignment horizontal="center"/>
    </xf>
    <xf numFmtId="0" fontId="24" fillId="10" borderId="6"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3" xfId="0" applyFont="1" applyFill="1" applyBorder="1" applyAlignment="1">
      <alignment horizontal="center" vertical="center" wrapText="1"/>
    </xf>
    <xf numFmtId="49" fontId="24" fillId="6" borderId="0" xfId="0" applyNumberFormat="1" applyFont="1" applyFill="1" applyAlignment="1">
      <alignment horizontal="center"/>
    </xf>
    <xf numFmtId="0" fontId="24" fillId="6" borderId="0" xfId="0" applyFont="1" applyFill="1" applyAlignment="1">
      <alignment horizontal="center"/>
    </xf>
    <xf numFmtId="44" fontId="24" fillId="6" borderId="0" xfId="0" applyNumberFormat="1" applyFont="1" applyFill="1" applyAlignment="1">
      <alignment horizontal="center"/>
    </xf>
    <xf numFmtId="179" fontId="24" fillId="6" borderId="0" xfId="0" applyNumberFormat="1" applyFont="1" applyFill="1" applyAlignment="1">
      <alignment horizontal="center"/>
    </xf>
    <xf numFmtId="1" fontId="24" fillId="6" borderId="0" xfId="0" applyNumberFormat="1" applyFont="1" applyFill="1" applyAlignment="1">
      <alignment horizontal="center"/>
    </xf>
    <xf numFmtId="184" fontId="24" fillId="6" borderId="0" xfId="0" applyNumberFormat="1" applyFont="1" applyFill="1" applyAlignment="1">
      <alignment horizontal="center"/>
    </xf>
    <xf numFmtId="44" fontId="24" fillId="6" borderId="0" xfId="7" applyFont="1" applyFill="1" applyAlignment="1" applyProtection="1">
      <alignment horizontal="center"/>
    </xf>
    <xf numFmtId="0" fontId="0" fillId="6" borderId="0" xfId="0" applyFill="1"/>
    <xf numFmtId="0" fontId="0" fillId="0" borderId="19" xfId="0" applyBorder="1"/>
    <xf numFmtId="0" fontId="0" fillId="13" borderId="146" xfId="0" applyFill="1" applyBorder="1" applyProtection="1">
      <protection locked="0"/>
    </xf>
    <xf numFmtId="9" fontId="33" fillId="0" borderId="23" xfId="3" applyFont="1" applyFill="1" applyBorder="1" applyAlignment="1" applyProtection="1">
      <alignment horizontal="right" vertical="center"/>
      <protection locked="0"/>
    </xf>
    <xf numFmtId="0" fontId="0" fillId="0" borderId="185" xfId="0" applyBorder="1" applyAlignment="1" applyProtection="1">
      <alignment horizontal="center"/>
      <protection locked="0"/>
    </xf>
    <xf numFmtId="0" fontId="0" fillId="13" borderId="21" xfId="0" applyFill="1" applyBorder="1" applyProtection="1">
      <protection locked="0"/>
    </xf>
    <xf numFmtId="0" fontId="0" fillId="13" borderId="23" xfId="0" applyFill="1" applyBorder="1" applyProtection="1">
      <protection locked="0"/>
    </xf>
    <xf numFmtId="0" fontId="0" fillId="13" borderId="22" xfId="0" applyFill="1" applyBorder="1" applyProtection="1">
      <protection locked="0"/>
    </xf>
    <xf numFmtId="0" fontId="138" fillId="38" borderId="0" xfId="0" applyFont="1" applyFill="1"/>
    <xf numFmtId="9" fontId="0" fillId="6" borderId="21" xfId="3" applyFont="1" applyFill="1" applyBorder="1" applyProtection="1"/>
    <xf numFmtId="0" fontId="107" fillId="6" borderId="108" xfId="0" applyFont="1" applyFill="1" applyBorder="1" applyAlignment="1">
      <alignment vertical="center" wrapText="1"/>
    </xf>
    <xf numFmtId="0" fontId="107" fillId="6" borderId="170" xfId="0" applyFont="1" applyFill="1" applyBorder="1" applyAlignment="1">
      <alignment vertical="center" wrapText="1"/>
    </xf>
    <xf numFmtId="14" fontId="107" fillId="6" borderId="108" xfId="0" quotePrefix="1" applyNumberFormat="1" applyFont="1" applyFill="1" applyBorder="1" applyAlignment="1">
      <alignment horizontal="left" vertical="center" wrapText="1"/>
    </xf>
    <xf numFmtId="0" fontId="96" fillId="10" borderId="258" xfId="0" applyFont="1" applyFill="1" applyBorder="1" applyAlignment="1">
      <alignment horizontal="left" vertical="center"/>
    </xf>
    <xf numFmtId="0" fontId="97" fillId="10" borderId="259" xfId="0" applyFont="1" applyFill="1" applyBorder="1"/>
    <xf numFmtId="0" fontId="98" fillId="10" borderId="259" xfId="0" applyFont="1" applyFill="1" applyBorder="1" applyAlignment="1">
      <alignment horizontal="left" vertical="center"/>
    </xf>
    <xf numFmtId="0" fontId="99" fillId="10" borderId="259" xfId="0" applyFont="1" applyFill="1" applyBorder="1"/>
    <xf numFmtId="0" fontId="99" fillId="10" borderId="260" xfId="0" applyFont="1" applyFill="1" applyBorder="1"/>
    <xf numFmtId="0" fontId="107" fillId="6" borderId="261" xfId="0" applyFont="1" applyFill="1" applyBorder="1" applyAlignment="1">
      <alignment vertical="center" wrapText="1"/>
    </xf>
    <xf numFmtId="0" fontId="66" fillId="2" borderId="262" xfId="0" applyFont="1" applyFill="1" applyBorder="1"/>
    <xf numFmtId="0" fontId="4" fillId="2" borderId="262" xfId="0" applyFont="1" applyFill="1" applyBorder="1"/>
    <xf numFmtId="0" fontId="4" fillId="2" borderId="267" xfId="0" applyFont="1" applyFill="1" applyBorder="1"/>
    <xf numFmtId="0" fontId="108" fillId="2" borderId="11" xfId="0" applyFont="1" applyFill="1" applyBorder="1" applyAlignment="1">
      <alignment horizontal="left" vertical="center" wrapText="1"/>
    </xf>
    <xf numFmtId="0" fontId="109" fillId="2" borderId="0" xfId="0" applyFont="1" applyFill="1" applyAlignment="1">
      <alignment horizontal="right" vertical="center"/>
    </xf>
    <xf numFmtId="0" fontId="109" fillId="2" borderId="0" xfId="0" applyFont="1" applyFill="1" applyAlignment="1">
      <alignment vertical="center"/>
    </xf>
    <xf numFmtId="0" fontId="147" fillId="35" borderId="0" xfId="0" applyFont="1" applyFill="1"/>
    <xf numFmtId="0" fontId="148" fillId="35" borderId="0" xfId="0" applyFont="1" applyFill="1"/>
    <xf numFmtId="0" fontId="149" fillId="16" borderId="0" xfId="0" applyFont="1" applyFill="1"/>
    <xf numFmtId="0" fontId="10" fillId="2" borderId="0" xfId="0" applyFont="1" applyFill="1" applyAlignment="1">
      <alignment horizontal="left" vertical="center" wrapText="1"/>
    </xf>
    <xf numFmtId="0" fontId="34" fillId="2" borderId="0" xfId="0" applyFont="1" applyFill="1" applyAlignment="1">
      <alignment vertical="center"/>
    </xf>
    <xf numFmtId="0" fontId="150" fillId="2" borderId="0" xfId="0" applyFont="1" applyFill="1" applyAlignment="1">
      <alignment horizontal="left" vertical="center"/>
    </xf>
    <xf numFmtId="0" fontId="81" fillId="10" borderId="101" xfId="0" applyFont="1" applyFill="1" applyBorder="1"/>
    <xf numFmtId="0" fontId="81" fillId="10" borderId="180" xfId="0" applyFont="1" applyFill="1" applyBorder="1"/>
    <xf numFmtId="0" fontId="88" fillId="10" borderId="101" xfId="0" applyFont="1" applyFill="1" applyBorder="1" applyAlignment="1">
      <alignment horizontal="center" vertical="center"/>
    </xf>
    <xf numFmtId="8" fontId="117" fillId="36" borderId="0" xfId="8" applyNumberFormat="1" applyFont="1" applyFill="1" applyAlignment="1">
      <alignment horizontal="center" wrapText="1"/>
    </xf>
    <xf numFmtId="8" fontId="115" fillId="0" borderId="0" xfId="0" applyNumberFormat="1" applyFont="1"/>
    <xf numFmtId="8" fontId="0" fillId="2" borderId="0" xfId="0" applyNumberFormat="1" applyFill="1"/>
    <xf numFmtId="0" fontId="24" fillId="6" borderId="269" xfId="0" applyFont="1" applyFill="1" applyBorder="1" applyAlignment="1">
      <alignment vertical="center" wrapText="1"/>
    </xf>
    <xf numFmtId="44" fontId="24" fillId="6" borderId="270" xfId="7" applyFont="1" applyFill="1" applyBorder="1" applyAlignment="1">
      <alignment vertical="center" wrapText="1"/>
    </xf>
    <xf numFmtId="179" fontId="0" fillId="6" borderId="93" xfId="0" applyNumberFormat="1" applyFill="1" applyBorder="1" applyAlignment="1" applyProtection="1">
      <alignment horizontal="center"/>
      <protection locked="0"/>
    </xf>
    <xf numFmtId="0" fontId="152" fillId="2" borderId="0" xfId="0" applyFont="1" applyFill="1" applyAlignment="1">
      <alignment vertical="top" wrapText="1"/>
    </xf>
    <xf numFmtId="8" fontId="152" fillId="2" borderId="35" xfId="0" applyNumberFormat="1" applyFont="1" applyFill="1" applyBorder="1" applyAlignment="1">
      <alignment vertical="top" wrapText="1"/>
    </xf>
    <xf numFmtId="0" fontId="0" fillId="2" borderId="271" xfId="0" applyFill="1" applyBorder="1"/>
    <xf numFmtId="0" fontId="0" fillId="2" borderId="272" xfId="0" applyFill="1" applyBorder="1"/>
    <xf numFmtId="0" fontId="0" fillId="2" borderId="273" xfId="0" applyFill="1" applyBorder="1"/>
    <xf numFmtId="0" fontId="0" fillId="0" borderId="194" xfId="0" applyBorder="1"/>
    <xf numFmtId="0" fontId="0" fillId="2" borderId="195" xfId="0" applyFill="1" applyBorder="1"/>
    <xf numFmtId="0" fontId="0" fillId="2" borderId="194" xfId="0" applyFill="1" applyBorder="1"/>
    <xf numFmtId="9" fontId="0" fillId="2" borderId="0" xfId="0" applyNumberFormat="1" applyFill="1"/>
    <xf numFmtId="2" fontId="30" fillId="25" borderId="195" xfId="0" applyNumberFormat="1" applyFont="1" applyFill="1" applyBorder="1" applyAlignment="1">
      <alignment horizontal="center" vertical="center" wrapText="1"/>
    </xf>
    <xf numFmtId="8" fontId="0" fillId="2" borderId="195" xfId="0" applyNumberFormat="1" applyFill="1" applyBorder="1"/>
    <xf numFmtId="0" fontId="0" fillId="2" borderId="274" xfId="0" applyFill="1" applyBorder="1"/>
    <xf numFmtId="8" fontId="0" fillId="2" borderId="190" xfId="0" applyNumberFormat="1" applyFill="1" applyBorder="1"/>
    <xf numFmtId="0" fontId="0" fillId="2" borderId="190" xfId="0" applyFill="1" applyBorder="1"/>
    <xf numFmtId="0" fontId="0" fillId="2" borderId="198" xfId="0" applyFill="1" applyBorder="1"/>
    <xf numFmtId="0" fontId="0" fillId="2" borderId="0" xfId="0" quotePrefix="1" applyFill="1" applyAlignment="1">
      <alignment horizontal="center"/>
    </xf>
    <xf numFmtId="0" fontId="153" fillId="16" borderId="0" xfId="0" applyFont="1" applyFill="1"/>
    <xf numFmtId="2" fontId="40" fillId="6" borderId="21" xfId="0" applyNumberFormat="1" applyFont="1" applyFill="1" applyBorder="1" applyAlignment="1">
      <alignment vertical="center"/>
    </xf>
    <xf numFmtId="2" fontId="40" fillId="6" borderId="21" xfId="0" applyNumberFormat="1" applyFont="1" applyFill="1" applyBorder="1"/>
    <xf numFmtId="14" fontId="40" fillId="2" borderId="21" xfId="0" applyNumberFormat="1" applyFont="1" applyFill="1" applyBorder="1" applyAlignment="1" applyProtection="1">
      <alignment horizontal="right"/>
      <protection locked="0"/>
    </xf>
    <xf numFmtId="14" fontId="40" fillId="2" borderId="21" xfId="0" applyNumberFormat="1" applyFont="1" applyFill="1" applyBorder="1" applyAlignment="1" applyProtection="1">
      <alignment vertical="center"/>
      <protection locked="0"/>
    </xf>
    <xf numFmtId="9" fontId="33" fillId="0" borderId="23" xfId="0" applyNumberFormat="1" applyFont="1" applyBorder="1" applyAlignment="1" applyProtection="1">
      <alignment horizontal="right" vertical="center"/>
      <protection locked="0"/>
    </xf>
    <xf numFmtId="0" fontId="34" fillId="6" borderId="0" xfId="3" applyNumberFormat="1" applyFont="1" applyFill="1" applyBorder="1" applyAlignment="1" applyProtection="1">
      <alignment horizontal="center" vertical="center"/>
    </xf>
    <xf numFmtId="1" fontId="4" fillId="13" borderId="85" xfId="0" applyNumberFormat="1" applyFont="1" applyFill="1" applyBorder="1" applyAlignment="1">
      <alignment horizontal="center" vertical="center"/>
    </xf>
    <xf numFmtId="0" fontId="142" fillId="6" borderId="0" xfId="0" applyFont="1" applyFill="1"/>
    <xf numFmtId="0" fontId="73" fillId="16" borderId="87" xfId="0" applyFont="1" applyFill="1" applyBorder="1" applyAlignment="1">
      <alignment horizontal="center"/>
    </xf>
    <xf numFmtId="0" fontId="73" fillId="16" borderId="88" xfId="0" applyFont="1" applyFill="1" applyBorder="1" applyAlignment="1">
      <alignment horizontal="center"/>
    </xf>
    <xf numFmtId="0" fontId="73" fillId="16" borderId="89" xfId="0" applyFont="1" applyFill="1" applyBorder="1" applyAlignment="1">
      <alignment horizontal="center"/>
    </xf>
    <xf numFmtId="0" fontId="79" fillId="16" borderId="147" xfId="0" applyFont="1" applyFill="1" applyBorder="1" applyAlignment="1">
      <alignment horizontal="left" vertical="top" wrapText="1"/>
    </xf>
    <xf numFmtId="0" fontId="79" fillId="16" borderId="0" xfId="0" applyFont="1" applyFill="1" applyAlignment="1">
      <alignment horizontal="left" vertical="top" wrapText="1"/>
    </xf>
    <xf numFmtId="0" fontId="87" fillId="2" borderId="105" xfId="0" applyFont="1" applyFill="1" applyBorder="1" applyAlignment="1" applyProtection="1">
      <alignment horizontal="center" vertical="center"/>
      <protection locked="0"/>
    </xf>
    <xf numFmtId="0" fontId="87" fillId="2" borderId="94" xfId="0" applyFont="1" applyFill="1" applyBorder="1" applyAlignment="1" applyProtection="1">
      <alignment horizontal="center" vertical="center"/>
      <protection locked="0"/>
    </xf>
    <xf numFmtId="0" fontId="87" fillId="2" borderId="240" xfId="0" applyFont="1" applyFill="1" applyBorder="1" applyAlignment="1" applyProtection="1">
      <alignment horizontal="center" vertical="center"/>
      <protection locked="0"/>
    </xf>
    <xf numFmtId="0" fontId="24" fillId="11" borderId="229" xfId="0" applyFont="1" applyFill="1" applyBorder="1" applyAlignment="1">
      <alignment horizontal="center"/>
    </xf>
    <xf numFmtId="0" fontId="24" fillId="11" borderId="29" xfId="0" applyFont="1" applyFill="1" applyBorder="1" applyAlignment="1">
      <alignment horizontal="center"/>
    </xf>
    <xf numFmtId="0" fontId="24" fillId="11" borderId="46" xfId="0" applyFont="1" applyFill="1" applyBorder="1" applyAlignment="1">
      <alignment horizontal="center"/>
    </xf>
    <xf numFmtId="0" fontId="24" fillId="11" borderId="230" xfId="0" applyFont="1" applyFill="1" applyBorder="1" applyAlignment="1">
      <alignment horizontal="center" wrapText="1"/>
    </xf>
    <xf numFmtId="0" fontId="24" fillId="11" borderId="30" xfId="0" applyFont="1" applyFill="1" applyBorder="1" applyAlignment="1">
      <alignment horizontal="center" wrapText="1"/>
    </xf>
    <xf numFmtId="0" fontId="24" fillId="11" borderId="26" xfId="0" applyFont="1" applyFill="1" applyBorder="1" applyAlignment="1">
      <alignment horizontal="center" wrapText="1"/>
    </xf>
    <xf numFmtId="0" fontId="24" fillId="11" borderId="230" xfId="0" applyFont="1" applyFill="1" applyBorder="1" applyAlignment="1">
      <alignment horizontal="center"/>
    </xf>
    <xf numFmtId="0" fontId="24" fillId="11" borderId="30" xfId="0" applyFont="1" applyFill="1" applyBorder="1" applyAlignment="1">
      <alignment horizontal="center"/>
    </xf>
    <xf numFmtId="0" fontId="24" fillId="11" borderId="26" xfId="0" applyFont="1" applyFill="1" applyBorder="1" applyAlignment="1">
      <alignment horizontal="center"/>
    </xf>
    <xf numFmtId="185" fontId="40" fillId="6" borderId="22" xfId="7" applyNumberFormat="1" applyFont="1" applyFill="1" applyBorder="1" applyAlignment="1" applyProtection="1">
      <alignment horizontal="center" vertical="center"/>
    </xf>
    <xf numFmtId="185" fontId="40" fillId="6" borderId="27" xfId="7" applyNumberFormat="1" applyFont="1" applyFill="1" applyBorder="1" applyAlignment="1" applyProtection="1">
      <alignment horizontal="center" vertical="center"/>
    </xf>
    <xf numFmtId="0" fontId="24" fillId="5" borderId="100" xfId="0" applyFont="1" applyFill="1" applyBorder="1" applyAlignment="1">
      <alignment horizontal="center"/>
    </xf>
    <xf numFmtId="0" fontId="24" fillId="5" borderId="101" xfId="0" applyFont="1" applyFill="1" applyBorder="1" applyAlignment="1">
      <alignment horizontal="center"/>
    </xf>
    <xf numFmtId="0" fontId="24" fillId="5" borderId="102" xfId="0" applyFont="1" applyFill="1" applyBorder="1" applyAlignment="1">
      <alignment horizontal="center"/>
    </xf>
    <xf numFmtId="0" fontId="64" fillId="6" borderId="171" xfId="0" applyFont="1" applyFill="1" applyBorder="1" applyAlignment="1">
      <alignment horizontal="left" vertical="top" wrapText="1"/>
    </xf>
    <xf numFmtId="0" fontId="64" fillId="6" borderId="39" xfId="0" applyFont="1" applyFill="1" applyBorder="1" applyAlignment="1">
      <alignment horizontal="left" vertical="top" wrapText="1"/>
    </xf>
    <xf numFmtId="0" fontId="64" fillId="6" borderId="40" xfId="0" applyFont="1" applyFill="1" applyBorder="1" applyAlignment="1">
      <alignment horizontal="left" vertical="top" wrapText="1"/>
    </xf>
    <xf numFmtId="0" fontId="0" fillId="11" borderId="176" xfId="0" applyFill="1" applyBorder="1" applyAlignment="1">
      <alignment horizontal="center" wrapText="1"/>
    </xf>
    <xf numFmtId="0" fontId="0" fillId="11" borderId="47" xfId="0" applyFill="1" applyBorder="1" applyAlignment="1">
      <alignment horizontal="center" wrapText="1"/>
    </xf>
    <xf numFmtId="0" fontId="0" fillId="11" borderId="48" xfId="0" applyFill="1" applyBorder="1" applyAlignment="1">
      <alignment horizontal="center" wrapText="1"/>
    </xf>
    <xf numFmtId="0" fontId="81" fillId="10" borderId="179" xfId="0" applyFont="1" applyFill="1" applyBorder="1" applyAlignment="1">
      <alignment horizontal="center"/>
    </xf>
    <xf numFmtId="0" fontId="81" fillId="10" borderId="101" xfId="0" applyFont="1" applyFill="1" applyBorder="1" applyAlignment="1">
      <alignment horizontal="center"/>
    </xf>
    <xf numFmtId="0" fontId="81" fillId="10" borderId="180" xfId="0" applyFont="1" applyFill="1" applyBorder="1" applyAlignment="1">
      <alignment horizontal="center"/>
    </xf>
    <xf numFmtId="0" fontId="0" fillId="0" borderId="27" xfId="0" applyBorder="1" applyAlignment="1" applyProtection="1">
      <alignment horizontal="center"/>
      <protection locked="0"/>
    </xf>
    <xf numFmtId="0" fontId="0" fillId="0" borderId="105" xfId="0" applyBorder="1" applyAlignment="1" applyProtection="1">
      <alignment horizontal="center"/>
      <protection locked="0"/>
    </xf>
    <xf numFmtId="0" fontId="0" fillId="0" borderId="107" xfId="0" applyBorder="1" applyAlignment="1" applyProtection="1">
      <alignment horizontal="center"/>
      <protection locked="0"/>
    </xf>
    <xf numFmtId="0" fontId="88" fillId="0" borderId="27" xfId="0" applyFont="1" applyBorder="1" applyAlignment="1" applyProtection="1">
      <alignment horizontal="center"/>
      <protection locked="0"/>
    </xf>
    <xf numFmtId="0" fontId="2" fillId="11" borderId="21" xfId="0" applyFont="1" applyFill="1" applyBorder="1" applyAlignment="1">
      <alignment horizontal="right"/>
    </xf>
    <xf numFmtId="0" fontId="2" fillId="11" borderId="23" xfId="0" applyFont="1" applyFill="1" applyBorder="1" applyAlignment="1">
      <alignment horizontal="right"/>
    </xf>
    <xf numFmtId="0" fontId="64" fillId="6" borderId="22" xfId="0" applyFont="1" applyFill="1" applyBorder="1" applyAlignment="1">
      <alignment horizontal="center"/>
    </xf>
    <xf numFmtId="0" fontId="64" fillId="6" borderId="183" xfId="0" applyFont="1" applyFill="1" applyBorder="1" applyAlignment="1">
      <alignment horizontal="center"/>
    </xf>
    <xf numFmtId="0" fontId="81" fillId="10" borderId="136" xfId="0" applyFont="1" applyFill="1" applyBorder="1" applyAlignment="1">
      <alignment horizontal="left" vertical="center"/>
    </xf>
    <xf numFmtId="0" fontId="81" fillId="10" borderId="135" xfId="0" applyFont="1" applyFill="1" applyBorder="1" applyAlignment="1">
      <alignment horizontal="left" vertical="center"/>
    </xf>
    <xf numFmtId="0" fontId="0" fillId="9" borderId="21" xfId="0" applyFill="1" applyBorder="1" applyAlignment="1">
      <alignment horizontal="center"/>
    </xf>
    <xf numFmtId="0" fontId="0" fillId="9" borderId="23" xfId="0" applyFill="1" applyBorder="1" applyAlignment="1">
      <alignment horizontal="center"/>
    </xf>
    <xf numFmtId="0" fontId="87" fillId="2" borderId="25" xfId="0" applyFont="1" applyFill="1" applyBorder="1" applyAlignment="1" applyProtection="1">
      <alignment horizontal="left" vertical="center"/>
      <protection locked="0"/>
    </xf>
    <xf numFmtId="0" fontId="87" fillId="2" borderId="196" xfId="0" applyFont="1" applyFill="1" applyBorder="1" applyAlignment="1" applyProtection="1">
      <alignment horizontal="left" vertical="center"/>
      <protection locked="0"/>
    </xf>
    <xf numFmtId="0" fontId="0" fillId="0" borderId="185" xfId="0" applyBorder="1" applyAlignment="1" applyProtection="1">
      <alignment horizontal="center"/>
      <protection locked="0"/>
    </xf>
    <xf numFmtId="0" fontId="0" fillId="0" borderId="142" xfId="0" applyBorder="1" applyAlignment="1" applyProtection="1">
      <alignment horizontal="center"/>
      <protection locked="0"/>
    </xf>
    <xf numFmtId="0" fontId="24" fillId="11" borderId="197" xfId="0" applyFont="1" applyFill="1" applyBorder="1" applyAlignment="1">
      <alignment horizontal="center"/>
    </xf>
    <xf numFmtId="0" fontId="24" fillId="11" borderId="47" xfId="0" applyFont="1" applyFill="1" applyBorder="1" applyAlignment="1">
      <alignment horizontal="center"/>
    </xf>
    <xf numFmtId="0" fontId="24" fillId="11" borderId="48" xfId="0" applyFont="1" applyFill="1" applyBorder="1" applyAlignment="1">
      <alignment horizontal="center"/>
    </xf>
    <xf numFmtId="0" fontId="24" fillId="11" borderId="229" xfId="0" applyFont="1" applyFill="1" applyBorder="1" applyAlignment="1">
      <alignment horizontal="center" vertical="center"/>
    </xf>
    <xf numFmtId="0" fontId="24" fillId="11" borderId="29" xfId="0" applyFont="1" applyFill="1" applyBorder="1" applyAlignment="1">
      <alignment horizontal="center" vertical="center"/>
    </xf>
    <xf numFmtId="0" fontId="24" fillId="11" borderId="46" xfId="0" applyFont="1" applyFill="1" applyBorder="1" applyAlignment="1">
      <alignment horizontal="center" vertical="center"/>
    </xf>
    <xf numFmtId="0" fontId="24" fillId="11" borderId="194" xfId="0" applyFont="1" applyFill="1" applyBorder="1" applyAlignment="1">
      <alignment horizontal="center" vertical="center"/>
    </xf>
    <xf numFmtId="0" fontId="24" fillId="11" borderId="0" xfId="0" applyFont="1" applyFill="1" applyAlignment="1">
      <alignment horizontal="center" vertical="center"/>
    </xf>
    <xf numFmtId="0" fontId="24" fillId="11" borderId="200" xfId="0" applyFont="1" applyFill="1" applyBorder="1" applyAlignment="1">
      <alignment horizontal="center" vertical="center"/>
    </xf>
    <xf numFmtId="0" fontId="24" fillId="11" borderId="231" xfId="0" applyFont="1" applyFill="1" applyBorder="1" applyAlignment="1">
      <alignment horizontal="center" vertical="center"/>
    </xf>
    <xf numFmtId="0" fontId="24" fillId="11" borderId="114" xfId="0" applyFont="1" applyFill="1" applyBorder="1" applyAlignment="1">
      <alignment horizontal="center" vertical="center"/>
    </xf>
    <xf numFmtId="0" fontId="24" fillId="11" borderId="232" xfId="0" applyFont="1" applyFill="1" applyBorder="1" applyAlignment="1">
      <alignment horizontal="center" vertical="center"/>
    </xf>
    <xf numFmtId="0" fontId="87" fillId="2" borderId="241" xfId="0" applyFont="1" applyFill="1" applyBorder="1" applyAlignment="1" applyProtection="1">
      <alignment horizontal="center" vertical="center"/>
      <protection locked="0"/>
    </xf>
    <xf numFmtId="0" fontId="87" fillId="2" borderId="101" xfId="0" applyFont="1" applyFill="1" applyBorder="1" applyAlignment="1" applyProtection="1">
      <alignment horizontal="center" vertical="center"/>
      <protection locked="0"/>
    </xf>
    <xf numFmtId="0" fontId="87" fillId="2" borderId="242" xfId="0" applyFont="1" applyFill="1" applyBorder="1" applyAlignment="1" applyProtection="1">
      <alignment horizontal="center" vertical="center"/>
      <protection locked="0"/>
    </xf>
    <xf numFmtId="9" fontId="40" fillId="6" borderId="24" xfId="0" applyNumberFormat="1" applyFont="1" applyFill="1" applyBorder="1" applyAlignment="1">
      <alignment horizontal="center" vertical="center" wrapText="1"/>
    </xf>
    <xf numFmtId="9" fontId="40" fillId="6" borderId="0" xfId="0" applyNumberFormat="1" applyFont="1" applyFill="1" applyAlignment="1">
      <alignment horizontal="center" vertical="center" wrapText="1"/>
    </xf>
    <xf numFmtId="0" fontId="0" fillId="11" borderId="21" xfId="0" applyFill="1" applyBorder="1" applyAlignment="1">
      <alignment horizontal="left"/>
    </xf>
    <xf numFmtId="0" fontId="24" fillId="11" borderId="230" xfId="0" applyFont="1" applyFill="1" applyBorder="1" applyAlignment="1">
      <alignment horizontal="center" vertical="center"/>
    </xf>
    <xf numFmtId="0" fontId="24" fillId="11" borderId="30" xfId="0" applyFont="1" applyFill="1" applyBorder="1" applyAlignment="1">
      <alignment horizontal="center" vertical="center"/>
    </xf>
    <xf numFmtId="0" fontId="24" fillId="11" borderId="26" xfId="0" applyFont="1" applyFill="1" applyBorder="1" applyAlignment="1">
      <alignment horizontal="center" vertical="center"/>
    </xf>
    <xf numFmtId="0" fontId="12" fillId="3" borderId="21" xfId="0" applyFont="1" applyFill="1" applyBorder="1" applyAlignment="1">
      <alignment horizontal="center"/>
    </xf>
    <xf numFmtId="0" fontId="59" fillId="11" borderId="197" xfId="0" applyFont="1" applyFill="1" applyBorder="1" applyAlignment="1">
      <alignment horizontal="center"/>
    </xf>
    <xf numFmtId="0" fontId="59" fillId="11" borderId="47" xfId="0" applyFont="1" applyFill="1" applyBorder="1" applyAlignment="1">
      <alignment horizontal="center"/>
    </xf>
    <xf numFmtId="0" fontId="59" fillId="11" borderId="48" xfId="0" applyFont="1" applyFill="1" applyBorder="1" applyAlignment="1">
      <alignment horizontal="center"/>
    </xf>
    <xf numFmtId="0" fontId="59" fillId="2" borderId="53" xfId="0"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wrapText="1"/>
      <protection locked="0"/>
    </xf>
    <xf numFmtId="0" fontId="59" fillId="2" borderId="118" xfId="0" applyFont="1" applyFill="1" applyBorder="1" applyAlignment="1" applyProtection="1">
      <alignment horizontal="center" vertical="center" wrapText="1"/>
      <protection locked="0"/>
    </xf>
    <xf numFmtId="0" fontId="59" fillId="2" borderId="124" xfId="0" applyFont="1" applyFill="1" applyBorder="1" applyAlignment="1" applyProtection="1">
      <alignment horizontal="center" vertical="center" wrapText="1"/>
      <protection locked="0"/>
    </xf>
    <xf numFmtId="0" fontId="59" fillId="2" borderId="114" xfId="0" applyFont="1" applyFill="1" applyBorder="1" applyAlignment="1" applyProtection="1">
      <alignment horizontal="center" vertical="center" wrapText="1"/>
      <protection locked="0"/>
    </xf>
    <xf numFmtId="0" fontId="59" fillId="2" borderId="115" xfId="0" applyFont="1" applyFill="1" applyBorder="1" applyAlignment="1" applyProtection="1">
      <alignment horizontal="center" vertical="center" wrapText="1"/>
      <protection locked="0"/>
    </xf>
    <xf numFmtId="0" fontId="100" fillId="6" borderId="110" xfId="0" applyFont="1" applyFill="1" applyBorder="1" applyAlignment="1">
      <alignment horizontal="center" vertical="center" wrapText="1"/>
    </xf>
    <xf numFmtId="0" fontId="100" fillId="6" borderId="0" xfId="0" applyFont="1" applyFill="1" applyAlignment="1">
      <alignment horizontal="center" vertical="center" wrapText="1"/>
    </xf>
    <xf numFmtId="0" fontId="100" fillId="6" borderId="121" xfId="0" applyFont="1" applyFill="1" applyBorder="1" applyAlignment="1">
      <alignment horizontal="center" vertical="center" wrapText="1"/>
    </xf>
    <xf numFmtId="0" fontId="100" fillId="6" borderId="37" xfId="0" applyFont="1" applyFill="1" applyBorder="1" applyAlignment="1">
      <alignment horizontal="center" vertical="center" wrapText="1"/>
    </xf>
    <xf numFmtId="0" fontId="133" fillId="6" borderId="120" xfId="0" applyFont="1" applyFill="1" applyBorder="1" applyAlignment="1">
      <alignment horizontal="center" vertical="center" wrapText="1"/>
    </xf>
    <xf numFmtId="0" fontId="133" fillId="6" borderId="31" xfId="0" applyFont="1" applyFill="1" applyBorder="1" applyAlignment="1">
      <alignment horizontal="center" vertical="center" wrapText="1"/>
    </xf>
    <xf numFmtId="0" fontId="133" fillId="6" borderId="110" xfId="0" applyFont="1" applyFill="1" applyBorder="1" applyAlignment="1">
      <alignment horizontal="center" vertical="center" wrapText="1"/>
    </xf>
    <xf numFmtId="0" fontId="133" fillId="6" borderId="0" xfId="0" applyFont="1" applyFill="1" applyAlignment="1">
      <alignment horizontal="center" vertical="center" wrapText="1"/>
    </xf>
    <xf numFmtId="0" fontId="133" fillId="6" borderId="111" xfId="0" applyFont="1" applyFill="1" applyBorder="1" applyAlignment="1">
      <alignment horizontal="center" vertical="center" wrapText="1"/>
    </xf>
    <xf numFmtId="0" fontId="133" fillId="6" borderId="114" xfId="0" applyFont="1" applyFill="1" applyBorder="1" applyAlignment="1">
      <alignment horizontal="center" vertical="center" wrapText="1"/>
    </xf>
    <xf numFmtId="0" fontId="24" fillId="11" borderId="48" xfId="0" applyFont="1" applyFill="1" applyBorder="1" applyAlignment="1">
      <alignment horizontal="right"/>
    </xf>
    <xf numFmtId="0" fontId="24" fillId="11" borderId="21" xfId="0" applyFont="1" applyFill="1" applyBorder="1" applyAlignment="1">
      <alignment horizontal="right"/>
    </xf>
    <xf numFmtId="0" fontId="24" fillId="11" borderId="23" xfId="0" applyFont="1" applyFill="1" applyBorder="1" applyAlignment="1">
      <alignment horizontal="right"/>
    </xf>
    <xf numFmtId="0" fontId="24" fillId="11" borderId="107" xfId="0" applyFont="1" applyFill="1" applyBorder="1" applyAlignment="1">
      <alignment horizontal="right"/>
    </xf>
    <xf numFmtId="0" fontId="24" fillId="11" borderId="104" xfId="0" applyFont="1" applyFill="1" applyBorder="1" applyAlignment="1">
      <alignment horizontal="right"/>
    </xf>
    <xf numFmtId="0" fontId="24" fillId="11" borderId="105" xfId="0" applyFont="1" applyFill="1" applyBorder="1" applyAlignment="1">
      <alignment horizontal="right"/>
    </xf>
    <xf numFmtId="0" fontId="81" fillId="10" borderId="100" xfId="0" applyFont="1" applyFill="1" applyBorder="1" applyAlignment="1">
      <alignment horizontal="center" vertical="center" wrapText="1"/>
    </xf>
    <xf numFmtId="0" fontId="81" fillId="10" borderId="101" xfId="0" applyFont="1" applyFill="1" applyBorder="1" applyAlignment="1">
      <alignment horizontal="center" vertical="center" wrapText="1"/>
    </xf>
    <xf numFmtId="0" fontId="81" fillId="10" borderId="102" xfId="0" applyFont="1" applyFill="1" applyBorder="1" applyAlignment="1">
      <alignment horizontal="center" vertical="center" wrapText="1"/>
    </xf>
    <xf numFmtId="0" fontId="24" fillId="11" borderId="30" xfId="0" applyFont="1" applyFill="1" applyBorder="1" applyAlignment="1">
      <alignment horizontal="right" vertical="center" wrapText="1"/>
    </xf>
    <xf numFmtId="0" fontId="24" fillId="11" borderId="26" xfId="0" applyFont="1" applyFill="1" applyBorder="1" applyAlignment="1">
      <alignment horizontal="right" vertical="center" wrapText="1"/>
    </xf>
    <xf numFmtId="0" fontId="3" fillId="12" borderId="50" xfId="0" applyFont="1" applyFill="1" applyBorder="1" applyAlignment="1">
      <alignment horizontal="center" vertical="center" wrapText="1"/>
    </xf>
    <xf numFmtId="0" fontId="3" fillId="12" borderId="47" xfId="0" applyFont="1" applyFill="1" applyBorder="1" applyAlignment="1">
      <alignment horizontal="center" vertical="center" wrapText="1"/>
    </xf>
    <xf numFmtId="0" fontId="24" fillId="11" borderId="95" xfId="0" applyFont="1" applyFill="1" applyBorder="1" applyAlignment="1">
      <alignment horizontal="right"/>
    </xf>
    <xf numFmtId="0" fontId="0" fillId="11" borderId="90" xfId="0" applyFill="1" applyBorder="1" applyAlignment="1">
      <alignment horizontal="right" vertical="center" wrapText="1"/>
    </xf>
    <xf numFmtId="0" fontId="0" fillId="11" borderId="29" xfId="0" applyFill="1" applyBorder="1" applyAlignment="1">
      <alignment horizontal="right" vertical="center" wrapText="1"/>
    </xf>
    <xf numFmtId="0" fontId="0" fillId="11" borderId="46" xfId="0" applyFill="1" applyBorder="1" applyAlignment="1">
      <alignment horizontal="right" vertical="center" wrapText="1"/>
    </xf>
    <xf numFmtId="0" fontId="0" fillId="11" borderId="50" xfId="0" applyFill="1" applyBorder="1" applyAlignment="1">
      <alignment horizontal="right" vertical="center" wrapText="1"/>
    </xf>
    <xf numFmtId="0" fontId="0" fillId="11" borderId="47" xfId="0" applyFill="1" applyBorder="1" applyAlignment="1">
      <alignment horizontal="right" vertical="center" wrapText="1"/>
    </xf>
    <xf numFmtId="0" fontId="0" fillId="11" borderId="48" xfId="0" applyFill="1" applyBorder="1" applyAlignment="1">
      <alignment horizontal="right" vertical="center" wrapText="1"/>
    </xf>
    <xf numFmtId="0" fontId="24" fillId="11" borderId="153" xfId="0" applyFont="1" applyFill="1" applyBorder="1" applyAlignment="1">
      <alignment horizontal="right"/>
    </xf>
    <xf numFmtId="0" fontId="24" fillId="11" borderId="47" xfId="0" applyFont="1" applyFill="1" applyBorder="1" applyAlignment="1">
      <alignment horizontal="right"/>
    </xf>
    <xf numFmtId="0" fontId="47" fillId="2" borderId="23" xfId="0" applyFont="1" applyFill="1" applyBorder="1" applyAlignment="1" applyProtection="1">
      <alignment horizontal="center" vertical="center"/>
      <protection locked="0"/>
    </xf>
    <xf numFmtId="0" fontId="47" fillId="2" borderId="47" xfId="0" applyFont="1" applyFill="1" applyBorder="1" applyAlignment="1" applyProtection="1">
      <alignment horizontal="center" vertical="center"/>
      <protection locked="0"/>
    </xf>
    <xf numFmtId="0" fontId="47" fillId="2" borderId="205" xfId="0" applyFont="1" applyFill="1" applyBorder="1" applyAlignment="1" applyProtection="1">
      <alignment horizontal="center" vertical="center"/>
      <protection locked="0"/>
    </xf>
    <xf numFmtId="0" fontId="81" fillId="10" borderId="154" xfId="0" applyFont="1" applyFill="1" applyBorder="1" applyAlignment="1">
      <alignment horizontal="center" vertical="center"/>
    </xf>
    <xf numFmtId="0" fontId="81" fillId="10" borderId="101" xfId="0" applyFont="1" applyFill="1" applyBorder="1" applyAlignment="1">
      <alignment horizontal="center" vertical="center"/>
    </xf>
    <xf numFmtId="0" fontId="81" fillId="10" borderId="227" xfId="0" applyFont="1" applyFill="1" applyBorder="1" applyAlignment="1">
      <alignment horizontal="center" vertical="center"/>
    </xf>
    <xf numFmtId="0" fontId="0" fillId="11" borderId="90" xfId="0" applyFill="1" applyBorder="1" applyAlignment="1">
      <alignment horizontal="right" wrapText="1"/>
    </xf>
    <xf numFmtId="0" fontId="0" fillId="11" borderId="29" xfId="0" applyFill="1" applyBorder="1" applyAlignment="1">
      <alignment horizontal="right" wrapText="1"/>
    </xf>
    <xf numFmtId="0" fontId="0" fillId="11" borderId="46" xfId="0" applyFill="1" applyBorder="1" applyAlignment="1">
      <alignment horizontal="right" wrapText="1"/>
    </xf>
    <xf numFmtId="0" fontId="40" fillId="0" borderId="105" xfId="0" applyFont="1" applyBorder="1" applyAlignment="1" applyProtection="1">
      <alignment horizontal="center"/>
      <protection locked="0"/>
    </xf>
    <xf numFmtId="0" fontId="40" fillId="0" borderId="94" xfId="0" applyFont="1" applyBorder="1" applyAlignment="1" applyProtection="1">
      <alignment horizontal="center"/>
      <protection locked="0"/>
    </xf>
    <xf numFmtId="0" fontId="40" fillId="0" borderId="107" xfId="0" applyFont="1" applyBorder="1" applyAlignment="1" applyProtection="1">
      <alignment horizontal="center"/>
      <protection locked="0"/>
    </xf>
    <xf numFmtId="0" fontId="102" fillId="10" borderId="100" xfId="0" applyFont="1" applyFill="1" applyBorder="1" applyAlignment="1">
      <alignment horizontal="center"/>
    </xf>
    <xf numFmtId="0" fontId="102" fillId="10" borderId="101" xfId="0" applyFont="1" applyFill="1" applyBorder="1" applyAlignment="1">
      <alignment horizontal="center"/>
    </xf>
    <xf numFmtId="0" fontId="102" fillId="10" borderId="207" xfId="0" applyFont="1" applyFill="1" applyBorder="1" applyAlignment="1">
      <alignment horizontal="center"/>
    </xf>
    <xf numFmtId="0" fontId="24" fillId="11" borderId="103" xfId="0" applyFont="1" applyFill="1" applyBorder="1" applyAlignment="1">
      <alignment horizontal="right"/>
    </xf>
    <xf numFmtId="0" fontId="47" fillId="2" borderId="29" xfId="0" applyFont="1" applyFill="1" applyBorder="1" applyAlignment="1" applyProtection="1">
      <alignment horizontal="center" vertical="center"/>
      <protection locked="0"/>
    </xf>
    <xf numFmtId="0" fontId="47" fillId="2" borderId="30" xfId="0" applyFont="1" applyFill="1" applyBorder="1" applyAlignment="1" applyProtection="1">
      <alignment horizontal="center" vertical="center"/>
      <protection locked="0"/>
    </xf>
    <xf numFmtId="0" fontId="81" fillId="10" borderId="207" xfId="0" applyFont="1" applyFill="1" applyBorder="1" applyAlignment="1">
      <alignment horizontal="center" vertical="center" wrapText="1"/>
    </xf>
    <xf numFmtId="0" fontId="40" fillId="2" borderId="0" xfId="0" applyFont="1" applyFill="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114" xfId="0" applyFont="1" applyFill="1" applyBorder="1" applyAlignment="1" applyProtection="1">
      <alignment horizontal="center" vertical="center" wrapText="1"/>
      <protection locked="0"/>
    </xf>
    <xf numFmtId="0" fontId="40" fillId="2" borderId="119" xfId="0" applyFont="1" applyFill="1" applyBorder="1" applyAlignment="1" applyProtection="1">
      <alignment horizontal="center" vertical="center" wrapText="1"/>
      <protection locked="0"/>
    </xf>
    <xf numFmtId="0" fontId="24" fillId="11" borderId="106" xfId="0" applyFont="1" applyFill="1" applyBorder="1" applyAlignment="1">
      <alignment horizontal="right"/>
    </xf>
    <xf numFmtId="0" fontId="24" fillId="11" borderId="22" xfId="0" applyFont="1" applyFill="1" applyBorder="1" applyAlignment="1">
      <alignment horizontal="right"/>
    </xf>
    <xf numFmtId="0" fontId="40" fillId="0" borderId="22" xfId="0" applyFont="1" applyBorder="1" applyAlignment="1" applyProtection="1">
      <alignment horizontal="center"/>
      <protection locked="0"/>
    </xf>
    <xf numFmtId="0" fontId="40" fillId="0" borderId="21" xfId="0" applyFont="1" applyBorder="1" applyAlignment="1" applyProtection="1">
      <alignment horizontal="center"/>
      <protection locked="0"/>
    </xf>
    <xf numFmtId="0" fontId="40" fillId="0" borderId="28" xfId="0" applyFont="1" applyBorder="1" applyAlignment="1" applyProtection="1">
      <alignment horizontal="center"/>
      <protection locked="0"/>
    </xf>
    <xf numFmtId="0" fontId="40" fillId="0" borderId="29" xfId="0" applyFont="1" applyBorder="1" applyAlignment="1" applyProtection="1">
      <alignment horizontal="center"/>
      <protection locked="0"/>
    </xf>
    <xf numFmtId="0" fontId="40" fillId="0" borderId="46" xfId="0" applyFont="1" applyBorder="1" applyAlignment="1" applyProtection="1">
      <alignment horizontal="center"/>
      <protection locked="0"/>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2" fillId="2" borderId="105" xfId="0" applyFont="1" applyFill="1" applyBorder="1" applyAlignment="1" applyProtection="1">
      <alignment horizontal="left"/>
      <protection locked="0"/>
    </xf>
    <xf numFmtId="0" fontId="92" fillId="2" borderId="94" xfId="0" applyFont="1" applyFill="1" applyBorder="1" applyAlignment="1" applyProtection="1">
      <alignment horizontal="left"/>
      <protection locked="0"/>
    </xf>
    <xf numFmtId="0" fontId="92" fillId="2" borderId="206" xfId="0" applyFont="1" applyFill="1" applyBorder="1" applyAlignment="1" applyProtection="1">
      <alignment horizontal="left"/>
      <protection locked="0"/>
    </xf>
    <xf numFmtId="0" fontId="47" fillId="0" borderId="23" xfId="0" applyFont="1" applyBorder="1" applyAlignment="1">
      <alignment horizontal="left"/>
    </xf>
    <xf numFmtId="0" fontId="47" fillId="0" borderId="244" xfId="0" applyFont="1" applyBorder="1" applyAlignment="1">
      <alignment horizontal="left"/>
    </xf>
    <xf numFmtId="0" fontId="40" fillId="0" borderId="23" xfId="0" applyFont="1" applyBorder="1" applyAlignment="1" applyProtection="1">
      <alignment horizontal="center"/>
      <protection locked="0"/>
    </xf>
    <xf numFmtId="0" fontId="40" fillId="0" borderId="48" xfId="0" applyFont="1" applyBorder="1" applyAlignment="1" applyProtection="1">
      <alignment horizontal="center"/>
      <protection locked="0"/>
    </xf>
    <xf numFmtId="0" fontId="0" fillId="11" borderId="248" xfId="0" applyFill="1" applyBorder="1" applyAlignment="1">
      <alignment horizontal="center" vertical="center" wrapText="1"/>
    </xf>
    <xf numFmtId="0" fontId="0" fillId="11" borderId="47" xfId="0" applyFill="1" applyBorder="1" applyAlignment="1">
      <alignment horizontal="center" vertical="center" wrapText="1"/>
    </xf>
    <xf numFmtId="0" fontId="0" fillId="11" borderId="48" xfId="0" applyFill="1" applyBorder="1" applyAlignment="1">
      <alignment horizontal="center" vertical="center" wrapText="1"/>
    </xf>
    <xf numFmtId="0" fontId="81" fillId="10" borderId="108" xfId="0" applyFont="1" applyFill="1" applyBorder="1" applyAlignment="1">
      <alignment horizontal="left" vertical="center" wrapText="1"/>
    </xf>
    <xf numFmtId="185" fontId="40" fillId="6" borderId="239" xfId="7" applyNumberFormat="1" applyFont="1" applyFill="1" applyBorder="1" applyAlignment="1" applyProtection="1">
      <alignment horizontal="center" vertical="center"/>
    </xf>
    <xf numFmtId="0" fontId="139" fillId="10" borderId="100" xfId="2" applyFont="1" applyFill="1" applyBorder="1" applyAlignment="1" applyProtection="1">
      <alignment horizontal="center" vertical="center" wrapText="1"/>
    </xf>
    <xf numFmtId="0" fontId="139" fillId="10" borderId="101" xfId="2" applyFont="1" applyFill="1" applyBorder="1" applyAlignment="1" applyProtection="1">
      <alignment horizontal="center" vertical="center" wrapText="1"/>
    </xf>
    <xf numFmtId="0" fontId="139" fillId="10" borderId="207" xfId="2" applyFont="1" applyFill="1" applyBorder="1" applyAlignment="1" applyProtection="1">
      <alignment horizontal="center" vertical="center" wrapText="1"/>
    </xf>
    <xf numFmtId="0" fontId="81" fillId="10" borderId="108" xfId="0" applyFont="1" applyFill="1" applyBorder="1" applyAlignment="1">
      <alignment horizontal="center" vertical="center" wrapText="1"/>
    </xf>
    <xf numFmtId="0" fontId="107" fillId="11" borderId="7" xfId="0" applyFont="1" applyFill="1" applyBorder="1" applyAlignment="1">
      <alignment horizontal="center" vertical="center" wrapText="1"/>
    </xf>
    <xf numFmtId="0" fontId="107" fillId="11" borderId="0" xfId="0" applyFont="1" applyFill="1" applyAlignment="1">
      <alignment horizontal="center" vertical="center" wrapText="1"/>
    </xf>
    <xf numFmtId="0" fontId="107" fillId="31" borderId="7" xfId="0" applyFont="1" applyFill="1" applyBorder="1" applyAlignment="1">
      <alignment horizontal="center" vertical="center" wrapText="1"/>
    </xf>
    <xf numFmtId="0" fontId="107" fillId="31" borderId="0" xfId="0" applyFont="1" applyFill="1" applyAlignment="1">
      <alignment horizontal="center" vertical="center" wrapText="1"/>
    </xf>
    <xf numFmtId="0" fontId="24" fillId="11" borderId="32" xfId="0" applyFont="1" applyFill="1" applyBorder="1" applyAlignment="1">
      <alignment horizontal="right" vertical="center" wrapText="1"/>
    </xf>
    <xf numFmtId="0" fontId="24" fillId="11" borderId="21" xfId="0" applyFont="1" applyFill="1" applyBorder="1" applyAlignment="1">
      <alignment horizontal="right" vertical="center" wrapText="1"/>
    </xf>
    <xf numFmtId="0" fontId="0" fillId="11" borderId="32" xfId="0" applyFill="1" applyBorder="1" applyAlignment="1">
      <alignment horizontal="right" vertical="center" wrapText="1"/>
    </xf>
    <xf numFmtId="0" fontId="0" fillId="11" borderId="21" xfId="0" applyFill="1" applyBorder="1" applyAlignment="1">
      <alignment horizontal="right" vertical="center" wrapText="1"/>
    </xf>
    <xf numFmtId="0" fontId="40" fillId="13" borderId="23" xfId="0" applyFont="1" applyFill="1" applyBorder="1" applyAlignment="1" applyProtection="1">
      <alignment horizontal="center" vertical="center" wrapText="1"/>
      <protection locked="0"/>
    </xf>
    <xf numFmtId="0" fontId="40" fillId="13" borderId="48" xfId="0" applyFont="1" applyFill="1" applyBorder="1" applyAlignment="1" applyProtection="1">
      <alignment horizontal="center" vertical="center" wrapText="1"/>
      <protection locked="0"/>
    </xf>
    <xf numFmtId="0" fontId="40" fillId="6" borderId="24" xfId="0" applyFont="1" applyFill="1" applyBorder="1" applyAlignment="1">
      <alignment horizontal="left" vertical="center" wrapText="1"/>
    </xf>
    <xf numFmtId="0" fontId="40" fillId="6" borderId="0" xfId="0" applyFont="1" applyFill="1" applyAlignment="1">
      <alignment horizontal="left" vertical="center" wrapText="1"/>
    </xf>
    <xf numFmtId="0" fontId="40" fillId="6" borderId="195" xfId="0" applyFont="1" applyFill="1" applyBorder="1" applyAlignment="1">
      <alignment horizontal="left" vertical="center" wrapText="1"/>
    </xf>
    <xf numFmtId="0" fontId="12" fillId="6" borderId="27" xfId="0" applyFont="1" applyFill="1" applyBorder="1" applyAlignment="1">
      <alignment horizontal="center" wrapText="1"/>
    </xf>
    <xf numFmtId="0" fontId="12" fillId="6" borderId="181" xfId="0" applyFont="1" applyFill="1" applyBorder="1" applyAlignment="1">
      <alignment horizontal="center" wrapText="1"/>
    </xf>
    <xf numFmtId="0" fontId="0" fillId="15" borderId="50" xfId="0" applyFill="1" applyBorder="1" applyAlignment="1">
      <alignment horizontal="right" vertical="center" wrapText="1"/>
    </xf>
    <xf numFmtId="0" fontId="0" fillId="15" borderId="47" xfId="0" applyFill="1" applyBorder="1" applyAlignment="1">
      <alignment horizontal="right" vertical="center" wrapText="1"/>
    </xf>
    <xf numFmtId="0" fontId="0" fillId="15" borderId="249" xfId="0" applyFill="1" applyBorder="1" applyAlignment="1">
      <alignment horizontal="right" vertical="center" wrapText="1"/>
    </xf>
    <xf numFmtId="0" fontId="4" fillId="2" borderId="0" xfId="0" applyFont="1" applyFill="1" applyAlignment="1" applyProtection="1">
      <alignment horizontal="center" vertical="center" wrapText="1"/>
      <protection locked="0"/>
    </xf>
    <xf numFmtId="0" fontId="33" fillId="16" borderId="25" xfId="0" applyFont="1" applyFill="1" applyBorder="1" applyAlignment="1">
      <alignment horizontal="left" vertical="center" wrapText="1"/>
    </xf>
    <xf numFmtId="0" fontId="33" fillId="16" borderId="30" xfId="0" applyFont="1" applyFill="1" applyBorder="1" applyAlignment="1">
      <alignment horizontal="left" vertical="center" wrapText="1"/>
    </xf>
    <xf numFmtId="0" fontId="12" fillId="5" borderId="21" xfId="0" applyFont="1" applyFill="1" applyBorder="1" applyAlignment="1">
      <alignment horizontal="center"/>
    </xf>
    <xf numFmtId="0" fontId="24" fillId="11" borderId="21" xfId="0" applyFont="1" applyFill="1" applyBorder="1" applyAlignment="1">
      <alignment horizontal="left" vertical="center"/>
    </xf>
    <xf numFmtId="0" fontId="83" fillId="10" borderId="100" xfId="0" applyFont="1" applyFill="1" applyBorder="1" applyAlignment="1">
      <alignment horizontal="center" vertical="center" wrapText="1"/>
    </xf>
    <xf numFmtId="0" fontId="83" fillId="10" borderId="101" xfId="0" applyFont="1" applyFill="1" applyBorder="1" applyAlignment="1">
      <alignment horizontal="center" vertical="center" wrapText="1"/>
    </xf>
    <xf numFmtId="0" fontId="83" fillId="10" borderId="102" xfId="0" applyFont="1" applyFill="1" applyBorder="1" applyAlignment="1">
      <alignment horizontal="center" vertical="center" wrapText="1"/>
    </xf>
    <xf numFmtId="185" fontId="40" fillId="6" borderId="245" xfId="7" applyNumberFormat="1" applyFont="1" applyFill="1" applyBorder="1" applyAlignment="1" applyProtection="1">
      <alignment horizontal="center" vertical="center"/>
    </xf>
    <xf numFmtId="0" fontId="47" fillId="2" borderId="25" xfId="0" applyFont="1" applyFill="1" applyBorder="1" applyAlignment="1">
      <alignment horizontal="left" vertical="center"/>
    </xf>
    <xf numFmtId="0" fontId="47" fillId="2" borderId="30" xfId="0" applyFont="1" applyFill="1" applyBorder="1" applyAlignment="1">
      <alignment horizontal="left" vertical="center"/>
    </xf>
    <xf numFmtId="0" fontId="47" fillId="2" borderId="113" xfId="0" applyFont="1" applyFill="1" applyBorder="1" applyAlignment="1">
      <alignment horizontal="left" vertical="center"/>
    </xf>
    <xf numFmtId="0" fontId="42" fillId="8" borderId="23" xfId="0" applyFont="1" applyFill="1" applyBorder="1" applyAlignment="1" applyProtection="1">
      <alignment horizontal="center" vertical="center"/>
      <protection locked="0"/>
    </xf>
    <xf numFmtId="0" fontId="42" fillId="8" borderId="47" xfId="0" applyFont="1" applyFill="1" applyBorder="1" applyAlignment="1" applyProtection="1">
      <alignment horizontal="center" vertical="center"/>
      <protection locked="0"/>
    </xf>
    <xf numFmtId="0" fontId="42" fillId="8" borderId="205" xfId="0" applyFont="1" applyFill="1" applyBorder="1" applyAlignment="1" applyProtection="1">
      <alignment horizontal="center" vertical="center"/>
      <protection locked="0"/>
    </xf>
    <xf numFmtId="0" fontId="80" fillId="9" borderId="218" xfId="0" applyFont="1" applyFill="1" applyBorder="1" applyAlignment="1">
      <alignment horizontal="center" vertical="center" wrapText="1"/>
    </xf>
    <xf numFmtId="0" fontId="80" fillId="9" borderId="108" xfId="0" applyFont="1" applyFill="1" applyBorder="1" applyAlignment="1">
      <alignment horizontal="center" vertical="center" wrapText="1"/>
    </xf>
    <xf numFmtId="0" fontId="80" fillId="9" borderId="170" xfId="0" applyFont="1" applyFill="1" applyBorder="1" applyAlignment="1">
      <alignment horizontal="center" vertical="center" wrapText="1"/>
    </xf>
    <xf numFmtId="0" fontId="81" fillId="10" borderId="157" xfId="0" applyFont="1" applyFill="1" applyBorder="1" applyAlignment="1">
      <alignment horizontal="center" vertical="center"/>
    </xf>
    <xf numFmtId="0" fontId="81" fillId="10" borderId="158" xfId="0" applyFont="1" applyFill="1" applyBorder="1" applyAlignment="1">
      <alignment horizontal="center" vertical="center"/>
    </xf>
    <xf numFmtId="0" fontId="81" fillId="10" borderId="210" xfId="0" applyFont="1" applyFill="1" applyBorder="1" applyAlignment="1">
      <alignment horizontal="center" vertical="center"/>
    </xf>
    <xf numFmtId="0" fontId="0" fillId="12" borderId="32" xfId="0" applyFill="1" applyBorder="1" applyAlignment="1">
      <alignment horizontal="right" vertical="center" wrapText="1"/>
    </xf>
    <xf numFmtId="0" fontId="2" fillId="12" borderId="21" xfId="0" applyFont="1" applyFill="1" applyBorder="1" applyAlignment="1">
      <alignment horizontal="right" vertical="center" wrapText="1"/>
    </xf>
    <xf numFmtId="0" fontId="2" fillId="12" borderId="32" xfId="0" applyFont="1" applyFill="1" applyBorder="1" applyAlignment="1">
      <alignment horizontal="right" vertical="center" wrapText="1"/>
    </xf>
    <xf numFmtId="0" fontId="62" fillId="16" borderId="25" xfId="0" applyFont="1" applyFill="1" applyBorder="1" applyAlignment="1">
      <alignment horizontal="center"/>
    </xf>
    <xf numFmtId="0" fontId="62" fillId="16" borderId="30" xfId="0" applyFont="1" applyFill="1" applyBorder="1" applyAlignment="1">
      <alignment horizontal="center"/>
    </xf>
    <xf numFmtId="0" fontId="62" fillId="16" borderId="35" xfId="0" applyFont="1" applyFill="1" applyBorder="1" applyAlignment="1">
      <alignment horizontal="center"/>
    </xf>
    <xf numFmtId="0" fontId="102" fillId="10" borderId="173" xfId="0" applyFont="1" applyFill="1" applyBorder="1" applyAlignment="1">
      <alignment horizontal="center"/>
    </xf>
    <xf numFmtId="0" fontId="102" fillId="10" borderId="174" xfId="0" applyFont="1" applyFill="1" applyBorder="1" applyAlignment="1">
      <alignment horizontal="center"/>
    </xf>
    <xf numFmtId="0" fontId="102" fillId="10" borderId="175" xfId="0" applyFont="1" applyFill="1" applyBorder="1" applyAlignment="1">
      <alignment horizontal="center"/>
    </xf>
    <xf numFmtId="0" fontId="40" fillId="2" borderId="23" xfId="0" applyFont="1" applyFill="1" applyBorder="1" applyAlignment="1" applyProtection="1">
      <alignment horizontal="center" vertical="center"/>
      <protection locked="0"/>
    </xf>
    <xf numFmtId="0" fontId="40" fillId="2" borderId="47" xfId="0" applyFont="1" applyFill="1" applyBorder="1" applyAlignment="1" applyProtection="1">
      <alignment horizontal="center" vertical="center"/>
      <protection locked="0"/>
    </xf>
    <xf numFmtId="0" fontId="40" fillId="2" borderId="48" xfId="0" applyFont="1" applyFill="1" applyBorder="1" applyAlignment="1" applyProtection="1">
      <alignment horizontal="center" vertical="center"/>
      <protection locked="0"/>
    </xf>
    <xf numFmtId="0" fontId="41" fillId="2" borderId="114" xfId="0" applyFont="1" applyFill="1" applyBorder="1" applyAlignment="1" applyProtection="1">
      <alignment horizontal="center" vertical="center" wrapText="1"/>
      <protection locked="0"/>
    </xf>
    <xf numFmtId="0" fontId="41" fillId="2" borderId="0" xfId="0" applyFont="1" applyFill="1" applyAlignment="1" applyProtection="1">
      <alignment horizontal="center" vertical="center" wrapText="1"/>
      <protection locked="0"/>
    </xf>
    <xf numFmtId="0" fontId="33" fillId="11" borderId="50" xfId="0" applyFont="1" applyFill="1" applyBorder="1" applyAlignment="1">
      <alignment horizontal="right" vertical="center" wrapText="1"/>
    </xf>
    <xf numFmtId="0" fontId="33" fillId="11" borderId="47" xfId="0" applyFont="1" applyFill="1" applyBorder="1" applyAlignment="1">
      <alignment horizontal="right" vertical="center" wrapText="1"/>
    </xf>
    <xf numFmtId="0" fontId="33" fillId="11" borderId="48" xfId="0" applyFont="1" applyFill="1" applyBorder="1" applyAlignment="1">
      <alignment horizontal="right" vertical="center" wrapText="1"/>
    </xf>
    <xf numFmtId="0" fontId="0" fillId="0" borderId="21" xfId="0" applyBorder="1" applyAlignment="1" applyProtection="1">
      <alignment horizontal="center"/>
      <protection locked="0"/>
    </xf>
    <xf numFmtId="0" fontId="64" fillId="6" borderId="27" xfId="0" applyFont="1" applyFill="1" applyBorder="1" applyAlignment="1">
      <alignment horizontal="center"/>
    </xf>
    <xf numFmtId="0" fontId="64" fillId="6" borderId="181" xfId="0" applyFont="1" applyFill="1" applyBorder="1" applyAlignment="1">
      <alignment horizontal="center"/>
    </xf>
    <xf numFmtId="0" fontId="33" fillId="6" borderId="22" xfId="0" applyFont="1" applyFill="1" applyBorder="1" applyAlignment="1">
      <alignment horizontal="center" wrapText="1"/>
    </xf>
    <xf numFmtId="0" fontId="33" fillId="6" borderId="183" xfId="0" applyFont="1" applyFill="1" applyBorder="1" applyAlignment="1">
      <alignment horizontal="center" wrapText="1"/>
    </xf>
    <xf numFmtId="0" fontId="64" fillId="6" borderId="21" xfId="0" applyFont="1" applyFill="1" applyBorder="1" applyAlignment="1">
      <alignment horizontal="center" wrapText="1"/>
    </xf>
    <xf numFmtId="0" fontId="64" fillId="6" borderId="182" xfId="0" applyFont="1" applyFill="1" applyBorder="1" applyAlignment="1">
      <alignment horizontal="center" wrapText="1"/>
    </xf>
    <xf numFmtId="0" fontId="80" fillId="10" borderId="254" xfId="0" applyFont="1" applyFill="1" applyBorder="1" applyAlignment="1">
      <alignment horizontal="center"/>
    </xf>
    <xf numFmtId="0" fontId="80" fillId="10" borderId="114" xfId="0" applyFont="1" applyFill="1" applyBorder="1" applyAlignment="1">
      <alignment horizontal="center"/>
    </xf>
    <xf numFmtId="0" fontId="80" fillId="10" borderId="255" xfId="0" applyFont="1" applyFill="1" applyBorder="1" applyAlignment="1">
      <alignment horizontal="center"/>
    </xf>
    <xf numFmtId="0" fontId="0" fillId="11" borderId="25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46" xfId="0" applyFill="1" applyBorder="1" applyAlignment="1">
      <alignment horizontal="center" vertical="center" wrapText="1"/>
    </xf>
    <xf numFmtId="0" fontId="10" fillId="6" borderId="24" xfId="0" applyFont="1" applyFill="1" applyBorder="1" applyAlignment="1">
      <alignment horizontal="right" vertical="center"/>
    </xf>
    <xf numFmtId="0" fontId="10" fillId="6" borderId="0" xfId="0" applyFont="1" applyFill="1" applyAlignment="1">
      <alignment horizontal="right" vertical="center"/>
    </xf>
    <xf numFmtId="0" fontId="4" fillId="16" borderId="139" xfId="0" applyFont="1" applyFill="1" applyBorder="1" applyAlignment="1">
      <alignment horizontal="center"/>
    </xf>
    <xf numFmtId="0" fontId="4" fillId="16" borderId="94" xfId="0" applyFont="1" applyFill="1" applyBorder="1" applyAlignment="1">
      <alignment horizontal="center"/>
    </xf>
    <xf numFmtId="0" fontId="4" fillId="16" borderId="107" xfId="0" applyFont="1" applyFill="1" applyBorder="1" applyAlignment="1">
      <alignment horizontal="center"/>
    </xf>
    <xf numFmtId="0" fontId="62" fillId="16" borderId="23" xfId="0" applyFont="1" applyFill="1" applyBorder="1" applyAlignment="1">
      <alignment horizontal="center"/>
    </xf>
    <xf numFmtId="0" fontId="62" fillId="16" borderId="47" xfId="0" applyFont="1" applyFill="1" applyBorder="1" applyAlignment="1">
      <alignment horizontal="center"/>
    </xf>
    <xf numFmtId="0" fontId="62" fillId="16" borderId="42" xfId="0" applyFont="1" applyFill="1" applyBorder="1" applyAlignment="1">
      <alignment horizontal="center"/>
    </xf>
    <xf numFmtId="0" fontId="97" fillId="10" borderId="100" xfId="0" applyFont="1" applyFill="1" applyBorder="1" applyAlignment="1">
      <alignment horizontal="center" vertical="center"/>
    </xf>
    <xf numFmtId="0" fontId="97" fillId="10" borderId="101" xfId="0" applyFont="1" applyFill="1" applyBorder="1" applyAlignment="1">
      <alignment horizontal="center" vertical="center"/>
    </xf>
    <xf numFmtId="0" fontId="97" fillId="10" borderId="102" xfId="0" applyFont="1" applyFill="1" applyBorder="1" applyAlignment="1">
      <alignment horizontal="center" vertical="center"/>
    </xf>
    <xf numFmtId="0" fontId="4" fillId="2" borderId="37" xfId="0" applyFont="1" applyFill="1" applyBorder="1" applyAlignment="1" applyProtection="1">
      <alignment horizontal="center" vertical="center" wrapText="1"/>
      <protection locked="0"/>
    </xf>
    <xf numFmtId="0" fontId="0" fillId="6" borderId="0" xfId="0" applyFont="1" applyFill="1" applyAlignment="1">
      <alignment horizontal="right"/>
    </xf>
    <xf numFmtId="0" fontId="41" fillId="2" borderId="8" xfId="0" applyFont="1" applyFill="1" applyBorder="1" applyAlignment="1" applyProtection="1">
      <alignment horizontal="center" vertical="center" wrapText="1"/>
      <protection locked="0"/>
    </xf>
    <xf numFmtId="0" fontId="41" fillId="11" borderId="7" xfId="0" applyFont="1" applyFill="1" applyBorder="1" applyAlignment="1">
      <alignment horizontal="center" vertical="center" wrapText="1"/>
    </xf>
    <xf numFmtId="0" fontId="41" fillId="11" borderId="0" xfId="0" applyFont="1" applyFill="1" applyAlignment="1">
      <alignment horizontal="center" vertical="center" wrapText="1"/>
    </xf>
    <xf numFmtId="0" fontId="140" fillId="11" borderId="0" xfId="2" applyFont="1" applyFill="1" applyAlignment="1" applyProtection="1">
      <alignment horizontal="center" vertical="center" wrapText="1"/>
    </xf>
    <xf numFmtId="0" fontId="140" fillId="11" borderId="8" xfId="2" applyFont="1" applyFill="1" applyBorder="1" applyAlignment="1" applyProtection="1">
      <alignment horizontal="center" vertical="center" wrapText="1"/>
    </xf>
    <xf numFmtId="0" fontId="102" fillId="10" borderId="102" xfId="0" applyFont="1" applyFill="1" applyBorder="1" applyAlignment="1">
      <alignment horizontal="center"/>
    </xf>
    <xf numFmtId="0" fontId="4" fillId="16" borderId="45" xfId="0" applyFont="1" applyFill="1" applyBorder="1" applyAlignment="1">
      <alignment horizontal="center"/>
    </xf>
    <xf numFmtId="0" fontId="4" fillId="16" borderId="30" xfId="0" applyFont="1" applyFill="1" applyBorder="1" applyAlignment="1">
      <alignment horizontal="center"/>
    </xf>
    <xf numFmtId="0" fontId="4" fillId="16" borderId="26" xfId="0" applyFont="1" applyFill="1" applyBorder="1" applyAlignment="1">
      <alignment horizontal="center"/>
    </xf>
    <xf numFmtId="0" fontId="2" fillId="12" borderId="50" xfId="0" applyFont="1" applyFill="1" applyBorder="1" applyAlignment="1">
      <alignment horizontal="right" vertical="center" wrapText="1"/>
    </xf>
    <xf numFmtId="0" fontId="2" fillId="12" borderId="47" xfId="0" applyFont="1" applyFill="1" applyBorder="1" applyAlignment="1">
      <alignment horizontal="right" vertical="center" wrapText="1"/>
    </xf>
    <xf numFmtId="0" fontId="2" fillId="12" borderId="223" xfId="0" applyFont="1" applyFill="1" applyBorder="1" applyAlignment="1">
      <alignment horizontal="right" vertical="center" wrapText="1"/>
    </xf>
    <xf numFmtId="0" fontId="4" fillId="2" borderId="7" xfId="0" applyFont="1" applyFill="1" applyBorder="1" applyAlignment="1" applyProtection="1">
      <alignment horizontal="center" vertical="center" wrapText="1"/>
      <protection locked="0"/>
    </xf>
    <xf numFmtId="0" fontId="4" fillId="2" borderId="268" xfId="0" applyFont="1" applyFill="1" applyBorder="1" applyAlignment="1" applyProtection="1">
      <alignment horizontal="center" vertical="center" wrapText="1"/>
      <protection locked="0"/>
    </xf>
    <xf numFmtId="0" fontId="4" fillId="2" borderId="114" xfId="0" applyFont="1" applyFill="1" applyBorder="1" applyAlignment="1" applyProtection="1">
      <alignment horizontal="center" vertical="center" wrapText="1"/>
      <protection locked="0"/>
    </xf>
    <xf numFmtId="0" fontId="0" fillId="11" borderId="90" xfId="0" applyFill="1" applyBorder="1" applyAlignment="1">
      <alignment horizontal="right"/>
    </xf>
    <xf numFmtId="0" fontId="0" fillId="11" borderId="29" xfId="0" applyFill="1" applyBorder="1" applyAlignment="1">
      <alignment horizontal="right"/>
    </xf>
    <xf numFmtId="0" fontId="0" fillId="11" borderId="46" xfId="0" applyFill="1" applyBorder="1" applyAlignment="1">
      <alignment horizontal="right"/>
    </xf>
    <xf numFmtId="0" fontId="24" fillId="11" borderId="167" xfId="0" applyFont="1" applyFill="1" applyBorder="1" applyAlignment="1">
      <alignment horizontal="right"/>
    </xf>
    <xf numFmtId="0" fontId="24" fillId="11" borderId="27" xfId="0" applyFont="1" applyFill="1" applyBorder="1" applyAlignment="1">
      <alignment horizontal="right"/>
    </xf>
    <xf numFmtId="0" fontId="81" fillId="10" borderId="110" xfId="0" applyFont="1" applyFill="1" applyBorder="1" applyAlignment="1">
      <alignment horizontal="center" vertical="center" wrapText="1"/>
    </xf>
    <xf numFmtId="0" fontId="81" fillId="10" borderId="0" xfId="0" applyFont="1" applyFill="1" applyAlignment="1">
      <alignment horizontal="center" vertical="center" wrapText="1"/>
    </xf>
    <xf numFmtId="0" fontId="4" fillId="10" borderId="0" xfId="0" applyFont="1" applyFill="1" applyAlignment="1">
      <alignment horizontal="center" vertical="center" wrapText="1"/>
    </xf>
    <xf numFmtId="0" fontId="81" fillId="10" borderId="100" xfId="0" applyFont="1" applyFill="1" applyBorder="1" applyAlignment="1">
      <alignment horizontal="center"/>
    </xf>
    <xf numFmtId="0" fontId="81" fillId="10" borderId="102" xfId="0" applyFont="1" applyFill="1" applyBorder="1" applyAlignment="1">
      <alignment horizontal="center"/>
    </xf>
    <xf numFmtId="0" fontId="24" fillId="11" borderId="117" xfId="0" applyFont="1" applyFill="1" applyBorder="1" applyAlignment="1">
      <alignment horizontal="right"/>
    </xf>
    <xf numFmtId="0" fontId="40" fillId="0" borderId="27" xfId="0" applyFont="1" applyBorder="1" applyAlignment="1" applyProtection="1">
      <alignment horizontal="center"/>
      <protection locked="0"/>
    </xf>
    <xf numFmtId="0" fontId="0" fillId="11" borderId="41" xfId="0" applyFill="1" applyBorder="1" applyAlignment="1">
      <alignment horizontal="right" vertical="center" wrapText="1"/>
    </xf>
    <xf numFmtId="0" fontId="0" fillId="11" borderId="22" xfId="0" applyFill="1" applyBorder="1" applyAlignment="1">
      <alignment horizontal="right" vertical="center" wrapText="1"/>
    </xf>
    <xf numFmtId="0" fontId="40" fillId="2" borderId="21" xfId="0" applyFont="1" applyFill="1" applyBorder="1" applyAlignment="1" applyProtection="1">
      <alignment horizontal="center" vertical="center"/>
      <protection locked="0"/>
    </xf>
    <xf numFmtId="0" fontId="40" fillId="2" borderId="202" xfId="0" applyFont="1" applyFill="1" applyBorder="1" applyAlignment="1" applyProtection="1">
      <alignment horizontal="center" vertical="center"/>
      <protection locked="0"/>
    </xf>
    <xf numFmtId="0" fontId="81" fillId="10" borderId="155" xfId="0" applyFont="1" applyFill="1" applyBorder="1" applyAlignment="1">
      <alignment horizontal="center" vertical="center"/>
    </xf>
    <xf numFmtId="0" fontId="24" fillId="11" borderId="116" xfId="0" applyFont="1" applyFill="1" applyBorder="1" applyAlignment="1">
      <alignment horizontal="right"/>
    </xf>
    <xf numFmtId="0" fontId="24" fillId="11" borderId="30" xfId="0" applyFont="1" applyFill="1" applyBorder="1" applyAlignment="1">
      <alignment horizontal="right"/>
    </xf>
    <xf numFmtId="0" fontId="24" fillId="11" borderId="26" xfId="0" applyFont="1" applyFill="1" applyBorder="1" applyAlignment="1">
      <alignment horizontal="right"/>
    </xf>
    <xf numFmtId="0" fontId="0" fillId="10" borderId="101" xfId="0" applyFill="1" applyBorder="1" applyAlignment="1">
      <alignment horizontal="right" vertical="center" wrapText="1"/>
    </xf>
    <xf numFmtId="0" fontId="24" fillId="11" borderId="168" xfId="0" applyFont="1" applyFill="1" applyBorder="1" applyAlignment="1">
      <alignment horizontal="right"/>
    </xf>
    <xf numFmtId="0" fontId="24" fillId="11" borderId="151" xfId="0" applyFont="1" applyFill="1" applyBorder="1" applyAlignment="1">
      <alignment horizontal="right"/>
    </xf>
    <xf numFmtId="44" fontId="41" fillId="6" borderId="219" xfId="7" applyFont="1" applyFill="1" applyBorder="1" applyAlignment="1" applyProtection="1">
      <alignment horizontal="center"/>
    </xf>
    <xf numFmtId="44" fontId="41" fillId="6" borderId="220" xfId="7" applyFont="1" applyFill="1" applyBorder="1" applyAlignment="1" applyProtection="1">
      <alignment horizontal="center"/>
    </xf>
    <xf numFmtId="0" fontId="2" fillId="2" borderId="22" xfId="0" applyFont="1" applyFill="1" applyBorder="1" applyAlignment="1">
      <alignment horizontal="right"/>
    </xf>
    <xf numFmtId="0" fontId="2" fillId="2" borderId="28" xfId="0" applyFont="1" applyFill="1" applyBorder="1" applyAlignment="1">
      <alignment horizontal="right"/>
    </xf>
    <xf numFmtId="0" fontId="24" fillId="11" borderId="199" xfId="0" applyFont="1" applyFill="1" applyBorder="1" applyAlignment="1">
      <alignment horizontal="right" vertical="center"/>
    </xf>
    <xf numFmtId="0" fontId="24" fillId="11" borderId="29" xfId="0" applyFont="1" applyFill="1" applyBorder="1" applyAlignment="1">
      <alignment horizontal="right" vertical="center"/>
    </xf>
    <xf numFmtId="0" fontId="24" fillId="11" borderId="46" xfId="0" applyFont="1" applyFill="1" applyBorder="1" applyAlignment="1">
      <alignment horizontal="right" vertical="center"/>
    </xf>
    <xf numFmtId="0" fontId="24" fillId="11" borderId="110" xfId="0" applyFont="1" applyFill="1" applyBorder="1" applyAlignment="1">
      <alignment horizontal="right" vertical="center"/>
    </xf>
    <xf numFmtId="0" fontId="24" fillId="11" borderId="0" xfId="0" applyFont="1" applyFill="1" applyAlignment="1">
      <alignment horizontal="right" vertical="center"/>
    </xf>
    <xf numFmtId="0" fontId="24" fillId="11" borderId="200" xfId="0" applyFont="1" applyFill="1" applyBorder="1" applyAlignment="1">
      <alignment horizontal="right" vertical="center"/>
    </xf>
    <xf numFmtId="167" fontId="12" fillId="6" borderId="27" xfId="0" applyNumberFormat="1" applyFont="1" applyFill="1" applyBorder="1" applyAlignment="1">
      <alignment horizontal="center" wrapText="1"/>
    </xf>
    <xf numFmtId="167" fontId="12" fillId="6" borderId="181" xfId="0" applyNumberFormat="1" applyFont="1" applyFill="1" applyBorder="1" applyAlignment="1">
      <alignment horizontal="center" wrapText="1"/>
    </xf>
    <xf numFmtId="0" fontId="81" fillId="10" borderId="143" xfId="0" applyFont="1" applyFill="1" applyBorder="1" applyAlignment="1">
      <alignment horizontal="center" vertical="center"/>
    </xf>
    <xf numFmtId="0" fontId="81" fillId="10" borderId="178" xfId="0" applyFont="1" applyFill="1" applyBorder="1" applyAlignment="1">
      <alignment horizontal="center" vertical="center"/>
    </xf>
    <xf numFmtId="0" fontId="81" fillId="10" borderId="160" xfId="0" applyFont="1" applyFill="1" applyBorder="1" applyAlignment="1">
      <alignment horizontal="center" vertical="center" wrapText="1"/>
    </xf>
    <xf numFmtId="0" fontId="81" fillId="10" borderId="164" xfId="0" applyFont="1" applyFill="1" applyBorder="1" applyAlignment="1">
      <alignment horizontal="right" vertical="center" wrapText="1"/>
    </xf>
    <xf numFmtId="0" fontId="81" fillId="10" borderId="160" xfId="0" applyFont="1" applyFill="1" applyBorder="1" applyAlignment="1">
      <alignment horizontal="right" vertical="center" wrapText="1"/>
    </xf>
    <xf numFmtId="0" fontId="49" fillId="2" borderId="167" xfId="0" applyFont="1" applyFill="1" applyBorder="1" applyAlignment="1" applyProtection="1">
      <alignment horizontal="right" vertical="center" wrapText="1"/>
      <protection locked="0"/>
    </xf>
    <xf numFmtId="0" fontId="49" fillId="2" borderId="27" xfId="0" applyFont="1" applyFill="1" applyBorder="1" applyAlignment="1" applyProtection="1">
      <alignment horizontal="right" vertical="center" wrapText="1"/>
      <protection locked="0"/>
    </xf>
    <xf numFmtId="0" fontId="0" fillId="11" borderId="45" xfId="0" applyFill="1" applyBorder="1" applyAlignment="1">
      <alignment horizontal="right" vertical="center" wrapText="1"/>
    </xf>
    <xf numFmtId="0" fontId="0" fillId="11" borderId="30" xfId="0" applyFill="1" applyBorder="1" applyAlignment="1">
      <alignment horizontal="right" vertical="center" wrapText="1"/>
    </xf>
    <xf numFmtId="0" fontId="24" fillId="11" borderId="166" xfId="0" applyFont="1" applyFill="1" applyBorder="1" applyAlignment="1">
      <alignment horizontal="right"/>
    </xf>
    <xf numFmtId="0" fontId="24" fillId="11" borderId="162" xfId="0" applyFont="1" applyFill="1" applyBorder="1" applyAlignment="1">
      <alignment horizontal="right"/>
    </xf>
    <xf numFmtId="0" fontId="0" fillId="10" borderId="36" xfId="0" applyFill="1" applyBorder="1" applyAlignment="1">
      <alignment horizontal="right" vertical="center" wrapText="1"/>
    </xf>
    <xf numFmtId="0" fontId="0" fillId="10" borderId="37" xfId="0" applyFill="1" applyBorder="1" applyAlignment="1">
      <alignment horizontal="right" vertical="center" wrapText="1"/>
    </xf>
    <xf numFmtId="0" fontId="0" fillId="10" borderId="149" xfId="0" applyFill="1" applyBorder="1" applyAlignment="1">
      <alignment horizontal="right" vertical="center" wrapText="1"/>
    </xf>
    <xf numFmtId="44" fontId="41" fillId="6" borderId="221" xfId="7" applyFont="1" applyFill="1" applyBorder="1" applyAlignment="1" applyProtection="1">
      <alignment horizontal="center"/>
    </xf>
    <xf numFmtId="44" fontId="41" fillId="6" borderId="24" xfId="7" applyFont="1" applyFill="1" applyBorder="1" applyAlignment="1" applyProtection="1">
      <alignment horizontal="center"/>
    </xf>
    <xf numFmtId="44" fontId="41" fillId="6" borderId="222" xfId="7" applyFont="1" applyFill="1" applyBorder="1" applyAlignment="1" applyProtection="1">
      <alignment horizontal="center"/>
    </xf>
    <xf numFmtId="0" fontId="24" fillId="11" borderId="169" xfId="0" applyFont="1" applyFill="1" applyBorder="1" applyAlignment="1">
      <alignment horizontal="right"/>
    </xf>
    <xf numFmtId="0" fontId="24" fillId="11" borderId="152" xfId="0" applyFont="1" applyFill="1" applyBorder="1" applyAlignment="1">
      <alignment horizontal="right"/>
    </xf>
    <xf numFmtId="0" fontId="15" fillId="10" borderId="0" xfId="0" applyFont="1" applyFill="1" applyAlignment="1">
      <alignment horizontal="center" vertical="center" wrapText="1"/>
    </xf>
    <xf numFmtId="0" fontId="0" fillId="0" borderId="22" xfId="0" applyBorder="1" applyAlignment="1" applyProtection="1">
      <alignment horizontal="center"/>
      <protection locked="0"/>
    </xf>
    <xf numFmtId="0" fontId="41" fillId="6" borderId="21" xfId="0" applyFont="1" applyFill="1" applyBorder="1" applyAlignment="1">
      <alignment horizontal="center"/>
    </xf>
    <xf numFmtId="0" fontId="64" fillId="6" borderId="21" xfId="0" applyFont="1" applyFill="1" applyBorder="1" applyAlignment="1">
      <alignment horizontal="center"/>
    </xf>
    <xf numFmtId="0" fontId="64" fillId="6" borderId="182" xfId="0" applyFont="1" applyFill="1" applyBorder="1" applyAlignment="1">
      <alignment horizontal="center"/>
    </xf>
    <xf numFmtId="0" fontId="24" fillId="6" borderId="112" xfId="0" applyFont="1" applyFill="1" applyBorder="1" applyAlignment="1">
      <alignment horizontal="center" vertical="center" wrapText="1"/>
    </xf>
    <xf numFmtId="0" fontId="24" fillId="6" borderId="108" xfId="0" applyFont="1" applyFill="1" applyBorder="1" applyAlignment="1">
      <alignment horizontal="center" vertical="center" wrapText="1"/>
    </xf>
    <xf numFmtId="0" fontId="24" fillId="6" borderId="170" xfId="0" applyFont="1" applyFill="1" applyBorder="1" applyAlignment="1">
      <alignment horizontal="center" vertical="center" wrapText="1"/>
    </xf>
    <xf numFmtId="0" fontId="12" fillId="2" borderId="3" xfId="0" applyFont="1" applyFill="1" applyBorder="1" applyAlignment="1">
      <alignment horizontal="center" vertical="top" wrapText="1"/>
    </xf>
    <xf numFmtId="0" fontId="12" fillId="2" borderId="6" xfId="0" applyFont="1" applyFill="1" applyBorder="1" applyAlignment="1">
      <alignment horizontal="center" vertical="top" wrapText="1"/>
    </xf>
    <xf numFmtId="0" fontId="23" fillId="11" borderId="0" xfId="2" applyFill="1" applyAlignment="1" applyProtection="1">
      <alignment horizontal="center" vertical="center" wrapText="1"/>
    </xf>
    <xf numFmtId="0" fontId="23" fillId="11" borderId="8" xfId="2" applyFill="1" applyBorder="1" applyAlignment="1" applyProtection="1">
      <alignment horizontal="center" vertical="center" wrapText="1"/>
    </xf>
    <xf numFmtId="165" fontId="41" fillId="0" borderId="250" xfId="0" applyNumberFormat="1" applyFont="1" applyBorder="1" applyAlignment="1" applyProtection="1">
      <alignment horizontal="center"/>
      <protection locked="0"/>
    </xf>
    <xf numFmtId="165" fontId="41" fillId="0" borderId="114" xfId="0" applyNumberFormat="1" applyFont="1" applyBorder="1" applyAlignment="1" applyProtection="1">
      <alignment horizontal="center"/>
      <protection locked="0"/>
    </xf>
    <xf numFmtId="0" fontId="24" fillId="11" borderId="47" xfId="0" applyFont="1" applyFill="1" applyBorder="1" applyAlignment="1">
      <alignment horizontal="right" vertical="center" wrapText="1"/>
    </xf>
    <xf numFmtId="0" fontId="24" fillId="11" borderId="48" xfId="0" applyFont="1" applyFill="1" applyBorder="1" applyAlignment="1">
      <alignment horizontal="right" vertical="center" wrapText="1"/>
    </xf>
    <xf numFmtId="0" fontId="4" fillId="2" borderId="114" xfId="0" applyFont="1" applyFill="1" applyBorder="1" applyAlignment="1">
      <alignment horizontal="center" vertical="center" wrapText="1"/>
    </xf>
    <xf numFmtId="0" fontId="41" fillId="11" borderId="0" xfId="0" applyFont="1" applyFill="1" applyAlignment="1">
      <alignment vertical="center" wrapText="1"/>
    </xf>
    <xf numFmtId="0" fontId="41" fillId="11" borderId="0" xfId="0" applyFont="1" applyFill="1" applyAlignment="1">
      <alignment horizontal="left" vertical="center" wrapText="1"/>
    </xf>
    <xf numFmtId="0" fontId="4" fillId="16" borderId="0" xfId="0" applyFont="1" applyFill="1" applyAlignment="1">
      <alignment horizontal="center" wrapText="1"/>
    </xf>
    <xf numFmtId="0" fontId="4" fillId="16" borderId="35" xfId="0" applyFont="1" applyFill="1" applyBorder="1" applyAlignment="1">
      <alignment horizontal="center" wrapText="1"/>
    </xf>
    <xf numFmtId="0" fontId="40" fillId="2" borderId="252" xfId="0" applyFont="1" applyFill="1" applyBorder="1" applyAlignment="1" applyProtection="1">
      <alignment horizontal="center" vertical="center" wrapText="1"/>
      <protection locked="0"/>
    </xf>
    <xf numFmtId="0" fontId="40" fillId="2" borderId="251" xfId="0" applyFont="1" applyFill="1" applyBorder="1" applyAlignment="1" applyProtection="1">
      <alignment horizontal="center" vertical="center" wrapText="1"/>
      <protection locked="0"/>
    </xf>
    <xf numFmtId="0" fontId="40" fillId="2" borderId="0" xfId="0" applyFont="1" applyFill="1" applyAlignment="1" applyProtection="1">
      <alignment horizontal="left" vertical="center" wrapText="1"/>
      <protection locked="0"/>
    </xf>
    <xf numFmtId="0" fontId="40" fillId="2" borderId="195" xfId="0" applyFont="1" applyFill="1" applyBorder="1" applyAlignment="1" applyProtection="1">
      <alignment horizontal="left" vertical="center" wrapText="1"/>
      <protection locked="0"/>
    </xf>
    <xf numFmtId="0" fontId="40" fillId="2" borderId="190" xfId="0" applyFont="1" applyFill="1" applyBorder="1" applyAlignment="1" applyProtection="1">
      <alignment horizontal="left" vertical="center" wrapText="1"/>
      <protection locked="0"/>
    </xf>
    <xf numFmtId="0" fontId="40" fillId="2" borderId="198" xfId="0" applyFont="1" applyFill="1" applyBorder="1" applyAlignment="1" applyProtection="1">
      <alignment horizontal="left" vertical="center" wrapText="1"/>
      <protection locked="0"/>
    </xf>
    <xf numFmtId="0" fontId="0" fillId="11" borderId="7" xfId="0" applyFill="1" applyBorder="1" applyAlignment="1">
      <alignment horizontal="center" vertical="center" wrapText="1"/>
    </xf>
    <xf numFmtId="0" fontId="0" fillId="11" borderId="200" xfId="0" applyFill="1" applyBorder="1" applyAlignment="1">
      <alignment horizontal="center" vertical="center" wrapText="1"/>
    </xf>
    <xf numFmtId="0" fontId="24" fillId="11" borderId="238" xfId="0" applyFont="1" applyFill="1" applyBorder="1" applyAlignment="1">
      <alignment horizontal="center"/>
    </xf>
    <xf numFmtId="0" fontId="24" fillId="11" borderId="108" xfId="0" applyFont="1" applyFill="1" applyBorder="1" applyAlignment="1">
      <alignment horizontal="center"/>
    </xf>
    <xf numFmtId="0" fontId="24" fillId="11" borderId="237" xfId="0" applyFont="1" applyFill="1" applyBorder="1" applyAlignment="1">
      <alignment horizontal="center"/>
    </xf>
    <xf numFmtId="0" fontId="81" fillId="24" borderId="23" xfId="0" applyFont="1" applyFill="1" applyBorder="1" applyAlignment="1">
      <alignment horizontal="center"/>
    </xf>
    <xf numFmtId="0" fontId="81" fillId="24" borderId="47" xfId="0" applyFont="1" applyFill="1" applyBorder="1" applyAlignment="1">
      <alignment horizontal="center"/>
    </xf>
    <xf numFmtId="0" fontId="81" fillId="24" borderId="48" xfId="0" applyFont="1" applyFill="1" applyBorder="1" applyAlignment="1">
      <alignment horizontal="center"/>
    </xf>
    <xf numFmtId="17" fontId="40" fillId="13" borderId="105" xfId="0" applyNumberFormat="1" applyFont="1" applyFill="1" applyBorder="1" applyAlignment="1" applyProtection="1">
      <alignment horizontal="center"/>
      <protection locked="0"/>
    </xf>
    <xf numFmtId="17" fontId="40" fillId="13" borderId="94" xfId="0" applyNumberFormat="1" applyFont="1" applyFill="1" applyBorder="1" applyAlignment="1" applyProtection="1">
      <alignment horizontal="center"/>
      <protection locked="0"/>
    </xf>
    <xf numFmtId="17" fontId="40" fillId="13" borderId="107" xfId="0" applyNumberFormat="1" applyFont="1" applyFill="1" applyBorder="1" applyAlignment="1" applyProtection="1">
      <alignment horizontal="center"/>
      <protection locked="0"/>
    </xf>
    <xf numFmtId="17" fontId="40" fillId="13" borderId="25" xfId="0" applyNumberFormat="1" applyFont="1" applyFill="1" applyBorder="1" applyAlignment="1" applyProtection="1">
      <alignment horizontal="center"/>
      <protection locked="0"/>
    </xf>
    <xf numFmtId="17" fontId="40" fillId="13" borderId="30" xfId="0" applyNumberFormat="1" applyFont="1" applyFill="1" applyBorder="1" applyAlignment="1" applyProtection="1">
      <alignment horizontal="center"/>
      <protection locked="0"/>
    </xf>
    <xf numFmtId="17" fontId="40" fillId="13" borderId="26" xfId="0" applyNumberFormat="1" applyFont="1" applyFill="1" applyBorder="1" applyAlignment="1" applyProtection="1">
      <alignment horizontal="center"/>
      <protection locked="0"/>
    </xf>
    <xf numFmtId="0" fontId="81" fillId="24" borderId="24" xfId="0" applyFont="1" applyFill="1" applyBorder="1" applyAlignment="1">
      <alignment horizontal="center" vertical="center" wrapText="1"/>
    </xf>
    <xf numFmtId="0" fontId="81" fillId="24" borderId="0" xfId="0" applyFont="1" applyFill="1" applyAlignment="1">
      <alignment horizontal="center" vertical="center" wrapText="1"/>
    </xf>
    <xf numFmtId="0" fontId="102" fillId="10" borderId="191" xfId="0" applyFont="1" applyFill="1" applyBorder="1" applyAlignment="1">
      <alignment horizontal="center"/>
    </xf>
    <xf numFmtId="0" fontId="102" fillId="10" borderId="192" xfId="0" applyFont="1" applyFill="1" applyBorder="1" applyAlignment="1">
      <alignment horizontal="center"/>
    </xf>
    <xf numFmtId="0" fontId="102" fillId="10" borderId="193" xfId="0" applyFont="1" applyFill="1" applyBorder="1" applyAlignment="1">
      <alignment horizontal="center"/>
    </xf>
    <xf numFmtId="0" fontId="12" fillId="2" borderId="24" xfId="0" applyFont="1" applyFill="1" applyBorder="1" applyAlignment="1">
      <alignment horizontal="center" vertical="top" wrapText="1"/>
    </xf>
    <xf numFmtId="0" fontId="12" fillId="2" borderId="0" xfId="0" applyFont="1" applyFill="1" applyAlignment="1">
      <alignment horizontal="center" vertical="top" wrapText="1"/>
    </xf>
    <xf numFmtId="0" fontId="152" fillId="2" borderId="0" xfId="0" applyFont="1" applyFill="1" applyAlignment="1">
      <alignment horizontal="center" vertical="top" wrapText="1"/>
    </xf>
    <xf numFmtId="0" fontId="152" fillId="2" borderId="35" xfId="0" applyFont="1" applyFill="1" applyBorder="1" applyAlignment="1">
      <alignment horizontal="center" vertical="top" wrapText="1"/>
    </xf>
    <xf numFmtId="0" fontId="81" fillId="10" borderId="179" xfId="0" applyFont="1" applyFill="1" applyBorder="1" applyAlignment="1">
      <alignment horizontal="right"/>
    </xf>
    <xf numFmtId="0" fontId="81" fillId="10" borderId="101" xfId="0" applyFont="1" applyFill="1" applyBorder="1" applyAlignment="1">
      <alignment horizontal="right"/>
    </xf>
    <xf numFmtId="0" fontId="151" fillId="10" borderId="179" xfId="0" applyFont="1" applyFill="1" applyBorder="1" applyAlignment="1">
      <alignment horizontal="center"/>
    </xf>
    <xf numFmtId="0" fontId="151" fillId="10" borderId="101" xfId="0" applyFont="1" applyFill="1" applyBorder="1" applyAlignment="1">
      <alignment horizontal="center"/>
    </xf>
    <xf numFmtId="0" fontId="0" fillId="11" borderId="224" xfId="0" applyFill="1" applyBorder="1" applyAlignment="1">
      <alignment horizontal="center"/>
    </xf>
    <xf numFmtId="0" fontId="0" fillId="11" borderId="94" xfId="0" applyFill="1" applyBorder="1" applyAlignment="1">
      <alignment horizontal="center"/>
    </xf>
    <xf numFmtId="0" fontId="0" fillId="11" borderId="107" xfId="0" applyFill="1" applyBorder="1" applyAlignment="1">
      <alignment horizontal="center"/>
    </xf>
    <xf numFmtId="0" fontId="64" fillId="6" borderId="142" xfId="0" applyFont="1" applyFill="1" applyBorder="1" applyAlignment="1">
      <alignment horizontal="center"/>
    </xf>
    <xf numFmtId="0" fontId="64" fillId="6" borderId="184" xfId="0" applyFont="1" applyFill="1" applyBorder="1" applyAlignment="1">
      <alignment horizontal="center"/>
    </xf>
    <xf numFmtId="0" fontId="88" fillId="0" borderId="23" xfId="0" applyFont="1" applyBorder="1" applyAlignment="1" applyProtection="1">
      <alignment horizontal="center"/>
      <protection locked="0"/>
    </xf>
    <xf numFmtId="0" fontId="88" fillId="0" borderId="48" xfId="0" applyFont="1" applyBorder="1" applyAlignment="1" applyProtection="1">
      <alignment horizontal="center"/>
      <protection locked="0"/>
    </xf>
    <xf numFmtId="167" fontId="12" fillId="6" borderId="23" xfId="0" applyNumberFormat="1" applyFont="1" applyFill="1" applyBorder="1" applyAlignment="1">
      <alignment horizontal="center"/>
    </xf>
    <xf numFmtId="167" fontId="12" fillId="6" borderId="47" xfId="0" applyNumberFormat="1" applyFont="1" applyFill="1" applyBorder="1" applyAlignment="1">
      <alignment horizontal="center"/>
    </xf>
    <xf numFmtId="167" fontId="12" fillId="6" borderId="214" xfId="0" applyNumberFormat="1" applyFont="1" applyFill="1" applyBorder="1" applyAlignment="1">
      <alignment horizontal="center"/>
    </xf>
    <xf numFmtId="0" fontId="41" fillId="0" borderId="21" xfId="0" applyFont="1" applyBorder="1" applyAlignment="1" applyProtection="1">
      <alignment horizontal="center"/>
      <protection locked="0"/>
    </xf>
    <xf numFmtId="0" fontId="12" fillId="6" borderId="21" xfId="0" applyFont="1" applyFill="1" applyBorder="1" applyAlignment="1">
      <alignment horizontal="center" wrapText="1"/>
    </xf>
    <xf numFmtId="0" fontId="12" fillId="6" borderId="182" xfId="0" applyFont="1" applyFill="1" applyBorder="1" applyAlignment="1">
      <alignment horizontal="center" wrapText="1"/>
    </xf>
    <xf numFmtId="0" fontId="95" fillId="2" borderId="0" xfId="0" applyFont="1" applyFill="1" applyAlignment="1">
      <alignment horizontal="left" vertical="center" wrapText="1"/>
    </xf>
    <xf numFmtId="0" fontId="10" fillId="2" borderId="0" xfId="0" applyFont="1" applyFill="1" applyAlignment="1">
      <alignment horizontal="left" vertical="center" wrapText="1"/>
    </xf>
    <xf numFmtId="0" fontId="95" fillId="2" borderId="0" xfId="0" quotePrefix="1" applyFont="1" applyFill="1" applyAlignment="1">
      <alignment horizontal="left" vertical="center" wrapText="1"/>
    </xf>
    <xf numFmtId="0" fontId="130" fillId="2" borderId="0" xfId="2" applyFont="1" applyFill="1" applyAlignment="1">
      <alignment horizontal="left" vertical="center" wrapText="1"/>
    </xf>
    <xf numFmtId="0" fontId="95" fillId="0" borderId="0" xfId="0" applyFont="1" applyAlignment="1">
      <alignment horizontal="left" vertical="center" wrapText="1"/>
    </xf>
    <xf numFmtId="0" fontId="129" fillId="2" borderId="0" xfId="0" applyFont="1" applyFill="1" applyAlignment="1">
      <alignment horizontal="left" vertical="center" wrapText="1"/>
    </xf>
    <xf numFmtId="186" fontId="88" fillId="0" borderId="0" xfId="0" applyNumberFormat="1" applyFont="1" applyAlignment="1">
      <alignment horizontal="center"/>
    </xf>
    <xf numFmtId="0" fontId="59" fillId="2" borderId="53" xfId="0" applyFont="1" applyFill="1" applyBorder="1" applyAlignment="1">
      <alignment horizontal="center" vertical="center"/>
    </xf>
    <xf numFmtId="0" fontId="59" fillId="2" borderId="0" xfId="0" applyFont="1" applyFill="1" applyAlignment="1">
      <alignment horizontal="center" vertical="center"/>
    </xf>
    <xf numFmtId="0" fontId="101" fillId="6" borderId="265" xfId="0" applyFont="1" applyFill="1" applyBorder="1" applyAlignment="1">
      <alignment horizontal="center" vertical="center" wrapText="1"/>
    </xf>
    <xf numFmtId="0" fontId="101" fillId="6" borderId="31" xfId="0" applyFont="1" applyFill="1" applyBorder="1" applyAlignment="1">
      <alignment horizontal="center" vertical="center" wrapText="1"/>
    </xf>
    <xf numFmtId="0" fontId="101" fillId="6" borderId="213" xfId="0" applyFont="1" applyFill="1" applyBorder="1" applyAlignment="1">
      <alignment horizontal="center" vertical="center" wrapText="1"/>
    </xf>
    <xf numFmtId="0" fontId="101" fillId="6" borderId="263" xfId="0" applyFont="1" applyFill="1" applyBorder="1" applyAlignment="1">
      <alignment horizontal="center" vertical="center" wrapText="1"/>
    </xf>
    <xf numFmtId="0" fontId="101" fillId="6" borderId="0" xfId="0" applyFont="1" applyFill="1" applyAlignment="1">
      <alignment horizontal="center" vertical="center" wrapText="1"/>
    </xf>
    <xf numFmtId="0" fontId="101" fillId="6" borderId="35" xfId="0" applyFont="1" applyFill="1" applyBorder="1" applyAlignment="1">
      <alignment horizontal="center" vertical="center" wrapText="1"/>
    </xf>
    <xf numFmtId="0" fontId="101" fillId="6" borderId="256" xfId="0" applyFont="1" applyFill="1" applyBorder="1" applyAlignment="1">
      <alignment horizontal="center" vertical="center" wrapText="1"/>
    </xf>
    <xf numFmtId="0" fontId="101" fillId="6" borderId="257" xfId="0" applyFont="1" applyFill="1" applyBorder="1" applyAlignment="1">
      <alignment horizontal="center" vertical="center" wrapText="1"/>
    </xf>
    <xf numFmtId="0" fontId="101" fillId="6" borderId="266" xfId="0" applyFont="1" applyFill="1" applyBorder="1" applyAlignment="1">
      <alignment horizontal="center" vertical="center" wrapText="1"/>
    </xf>
    <xf numFmtId="0" fontId="92" fillId="2" borderId="0" xfId="0" applyFont="1" applyFill="1" applyAlignment="1">
      <alignment horizontal="left" vertical="center" wrapText="1"/>
    </xf>
    <xf numFmtId="0" fontId="146" fillId="6" borderId="263" xfId="0" applyFont="1" applyFill="1" applyBorder="1" applyAlignment="1">
      <alignment horizontal="center"/>
    </xf>
    <xf numFmtId="0" fontId="146" fillId="6" borderId="0" xfId="0" applyFont="1" applyFill="1" applyAlignment="1">
      <alignment horizontal="center"/>
    </xf>
    <xf numFmtId="0" fontId="146" fillId="6" borderId="35" xfId="0" applyFont="1" applyFill="1" applyBorder="1" applyAlignment="1">
      <alignment horizontal="center"/>
    </xf>
    <xf numFmtId="0" fontId="146" fillId="6" borderId="264" xfId="0" applyFont="1" applyFill="1" applyBorder="1" applyAlignment="1">
      <alignment horizontal="center"/>
    </xf>
    <xf numFmtId="0" fontId="146" fillId="6" borderId="37" xfId="0" applyFont="1" applyFill="1" applyBorder="1" applyAlignment="1">
      <alignment horizontal="center"/>
    </xf>
    <xf numFmtId="0" fontId="146" fillId="6" borderId="38" xfId="0" applyFont="1" applyFill="1" applyBorder="1" applyAlignment="1">
      <alignment horizontal="center"/>
    </xf>
    <xf numFmtId="0" fontId="24" fillId="15" borderId="54" xfId="0" applyFont="1" applyFill="1" applyBorder="1" applyAlignment="1">
      <alignment horizontal="center" vertical="center" wrapText="1"/>
    </xf>
    <xf numFmtId="177" fontId="24" fillId="6" borderId="54" xfId="0" applyNumberFormat="1" applyFont="1" applyFill="1" applyBorder="1" applyAlignment="1">
      <alignment horizontal="center" vertical="center"/>
    </xf>
    <xf numFmtId="183" fontId="65" fillId="26" borderId="131" xfId="0" applyNumberFormat="1" applyFont="1" applyFill="1" applyBorder="1" applyAlignment="1">
      <alignment horizontal="center" vertical="center" wrapText="1"/>
    </xf>
    <xf numFmtId="183" fontId="65" fillId="26" borderId="132" xfId="0" applyNumberFormat="1" applyFont="1" applyFill="1" applyBorder="1" applyAlignment="1">
      <alignment horizontal="center" vertical="center" wrapText="1"/>
    </xf>
    <xf numFmtId="183" fontId="65" fillId="26" borderId="133" xfId="0" applyNumberFormat="1" applyFont="1" applyFill="1" applyBorder="1" applyAlignment="1">
      <alignment horizontal="center" vertical="center" wrapText="1"/>
    </xf>
    <xf numFmtId="0" fontId="0" fillId="0" borderId="128" xfId="0" applyBorder="1" applyAlignment="1">
      <alignment horizontal="center" wrapText="1"/>
    </xf>
    <xf numFmtId="0" fontId="69" fillId="2" borderId="0" xfId="0" applyFont="1" applyFill="1" applyAlignment="1">
      <alignment horizontal="center"/>
    </xf>
    <xf numFmtId="0" fontId="26" fillId="26" borderId="126" xfId="0" applyFont="1" applyFill="1" applyBorder="1" applyAlignment="1">
      <alignment horizontal="center" vertical="center" wrapText="1"/>
    </xf>
    <xf numFmtId="0" fontId="26" fillId="26" borderId="127" xfId="0" applyFont="1" applyFill="1" applyBorder="1" applyAlignment="1">
      <alignment horizontal="center" vertical="center" wrapText="1"/>
    </xf>
    <xf numFmtId="0" fontId="26" fillId="26" borderId="125" xfId="0" applyFont="1" applyFill="1" applyBorder="1" applyAlignment="1">
      <alignment horizontal="center" vertical="center" wrapText="1"/>
    </xf>
    <xf numFmtId="0" fontId="0" fillId="28" borderId="71" xfId="0" applyFill="1" applyBorder="1" applyAlignment="1">
      <alignment horizontal="center" wrapText="1"/>
    </xf>
    <xf numFmtId="0" fontId="0" fillId="28" borderId="217" xfId="0" applyFill="1" applyBorder="1" applyAlignment="1">
      <alignment horizontal="center" wrapText="1"/>
    </xf>
    <xf numFmtId="0" fontId="0" fillId="28" borderId="59" xfId="0" applyFill="1" applyBorder="1" applyAlignment="1">
      <alignment horizontal="center" wrapText="1"/>
    </xf>
    <xf numFmtId="0" fontId="0" fillId="28" borderId="216" xfId="0" applyFill="1" applyBorder="1" applyAlignment="1">
      <alignment horizontal="center" wrapText="1"/>
    </xf>
    <xf numFmtId="0" fontId="0" fillId="32" borderId="59" xfId="0" applyFill="1" applyBorder="1" applyAlignment="1">
      <alignment horizontal="center" wrapText="1"/>
    </xf>
    <xf numFmtId="0" fontId="0" fillId="32" borderId="216" xfId="0" applyFill="1" applyBorder="1" applyAlignment="1">
      <alignment horizontal="center" wrapText="1"/>
    </xf>
    <xf numFmtId="0" fontId="77" fillId="19" borderId="0" xfId="4" applyFont="1" applyFill="1" applyAlignment="1">
      <alignment horizontal="left"/>
    </xf>
    <xf numFmtId="0" fontId="36" fillId="0" borderId="60" xfId="4" applyBorder="1" applyAlignment="1">
      <alignment horizontal="center" vertical="center"/>
    </xf>
    <xf numFmtId="0" fontId="36" fillId="0" borderId="68" xfId="4" applyBorder="1" applyAlignment="1">
      <alignment horizontal="center" vertical="center"/>
    </xf>
    <xf numFmtId="0" fontId="54" fillId="19" borderId="0" xfId="4" applyFont="1" applyFill="1" applyAlignment="1">
      <alignment horizontal="left"/>
    </xf>
    <xf numFmtId="0" fontId="64" fillId="14" borderId="0" xfId="4" applyFont="1" applyFill="1" applyAlignment="1">
      <alignment horizontal="left" wrapText="1"/>
    </xf>
    <xf numFmtId="0" fontId="36" fillId="0" borderId="64" xfId="4" applyBorder="1" applyAlignment="1">
      <alignment horizontal="center" vertical="center"/>
    </xf>
    <xf numFmtId="0" fontId="36" fillId="18" borderId="61" xfId="4" applyFill="1" applyBorder="1" applyAlignment="1">
      <alignment horizontal="left"/>
    </xf>
    <xf numFmtId="0" fontId="36" fillId="18" borderId="62" xfId="4" applyFill="1" applyBorder="1" applyAlignment="1">
      <alignment horizontal="left"/>
    </xf>
    <xf numFmtId="0" fontId="36" fillId="18" borderId="63" xfId="4" applyFill="1" applyBorder="1" applyAlignment="1">
      <alignment horizontal="left"/>
    </xf>
    <xf numFmtId="0" fontId="36" fillId="18" borderId="65" xfId="4" applyFill="1" applyBorder="1" applyAlignment="1">
      <alignment horizontal="left"/>
    </xf>
    <xf numFmtId="0" fontId="36" fillId="18" borderId="14" xfId="4" applyFill="1" applyBorder="1" applyAlignment="1">
      <alignment horizontal="left"/>
    </xf>
    <xf numFmtId="0" fontId="36" fillId="18" borderId="66" xfId="4" applyFill="1" applyBorder="1" applyAlignment="1">
      <alignment horizontal="left"/>
    </xf>
    <xf numFmtId="0" fontId="36" fillId="18" borderId="74" xfId="4" applyFill="1" applyBorder="1" applyAlignment="1">
      <alignment horizontal="left"/>
    </xf>
    <xf numFmtId="0" fontId="36" fillId="18" borderId="75" xfId="4" applyFill="1" applyBorder="1" applyAlignment="1">
      <alignment horizontal="left"/>
    </xf>
    <xf numFmtId="0" fontId="36" fillId="18" borderId="76" xfId="4" applyFill="1" applyBorder="1" applyAlignment="1">
      <alignment horizontal="center"/>
    </xf>
    <xf numFmtId="0" fontId="36" fillId="18" borderId="77" xfId="4" applyFill="1" applyBorder="1" applyAlignment="1">
      <alignment horizontal="center"/>
    </xf>
    <xf numFmtId="0" fontId="36" fillId="18" borderId="3" xfId="4" applyFill="1" applyBorder="1" applyAlignment="1">
      <alignment horizontal="left"/>
    </xf>
    <xf numFmtId="0" fontId="36" fillId="18" borderId="6" xfId="4" applyFill="1" applyBorder="1" applyAlignment="1">
      <alignment horizontal="left"/>
    </xf>
    <xf numFmtId="0" fontId="36" fillId="18" borderId="12" xfId="4" applyFill="1" applyBorder="1" applyAlignment="1">
      <alignment horizontal="left"/>
    </xf>
    <xf numFmtId="0" fontId="36" fillId="18" borderId="2" xfId="4" applyFill="1" applyBorder="1" applyAlignment="1">
      <alignment horizontal="left"/>
    </xf>
    <xf numFmtId="0" fontId="36" fillId="18" borderId="55" xfId="4" applyFill="1" applyBorder="1" applyAlignment="1">
      <alignment horizontal="left"/>
    </xf>
    <xf numFmtId="0" fontId="36" fillId="18" borderId="10" xfId="4" applyFill="1" applyBorder="1" applyAlignment="1">
      <alignment horizontal="left"/>
    </xf>
    <xf numFmtId="0" fontId="36" fillId="18" borderId="71" xfId="4" applyFill="1" applyBorder="1" applyAlignment="1">
      <alignment horizontal="center"/>
    </xf>
    <xf numFmtId="0" fontId="36" fillId="18" borderId="72" xfId="4" applyFill="1" applyBorder="1" applyAlignment="1">
      <alignment horizontal="center"/>
    </xf>
    <xf numFmtId="0" fontId="36" fillId="18" borderId="58" xfId="4" applyFill="1" applyBorder="1" applyAlignment="1">
      <alignment horizontal="left"/>
    </xf>
    <xf numFmtId="0" fontId="36" fillId="18" borderId="20" xfId="4" applyFill="1" applyBorder="1" applyAlignment="1">
      <alignment horizontal="left"/>
    </xf>
    <xf numFmtId="0" fontId="36" fillId="18" borderId="59" xfId="4" applyFill="1" applyBorder="1" applyAlignment="1">
      <alignment horizontal="center"/>
    </xf>
    <xf numFmtId="0" fontId="36" fillId="18" borderId="73" xfId="4" applyFill="1" applyBorder="1" applyAlignment="1">
      <alignment horizontal="center"/>
    </xf>
    <xf numFmtId="0" fontId="36" fillId="18" borderId="69" xfId="4" applyFill="1" applyBorder="1" applyAlignment="1">
      <alignment horizontal="left"/>
    </xf>
    <xf numFmtId="0" fontId="36" fillId="18" borderId="70" xfId="4" applyFill="1" applyBorder="1" applyAlignment="1">
      <alignment horizontal="left"/>
    </xf>
    <xf numFmtId="0" fontId="36" fillId="18" borderId="78" xfId="4" applyFill="1" applyBorder="1" applyAlignment="1">
      <alignment horizontal="left"/>
    </xf>
    <xf numFmtId="0" fontId="36" fillId="18" borderId="79" xfId="4" applyFill="1" applyBorder="1" applyAlignment="1">
      <alignment horizontal="left"/>
    </xf>
    <xf numFmtId="0" fontId="36" fillId="18" borderId="81" xfId="4" applyFill="1" applyBorder="1" applyAlignment="1">
      <alignment horizontal="left"/>
    </xf>
    <xf numFmtId="0" fontId="36" fillId="18" borderId="82" xfId="4" applyFill="1" applyBorder="1" applyAlignment="1">
      <alignment horizontal="left"/>
    </xf>
    <xf numFmtId="0" fontId="36" fillId="18" borderId="72" xfId="4" applyFill="1" applyBorder="1" applyAlignment="1">
      <alignment horizontal="left"/>
    </xf>
    <xf numFmtId="0" fontId="118" fillId="21" borderId="3" xfId="0" applyFont="1" applyFill="1" applyBorder="1" applyAlignment="1">
      <alignment horizontal="right" vertical="top" wrapText="1"/>
    </xf>
    <xf numFmtId="0" fontId="118" fillId="21" borderId="5" xfId="0" applyFont="1" applyFill="1" applyBorder="1" applyAlignment="1">
      <alignment horizontal="right" vertical="top" wrapText="1"/>
    </xf>
    <xf numFmtId="0" fontId="123" fillId="21" borderId="3" xfId="0" applyFont="1" applyFill="1" applyBorder="1" applyAlignment="1">
      <alignment horizontal="left" vertical="top" wrapText="1"/>
    </xf>
    <xf numFmtId="0" fontId="123" fillId="21" borderId="6" xfId="0" applyFont="1" applyFill="1" applyBorder="1" applyAlignment="1">
      <alignment horizontal="left" vertical="top" wrapText="1"/>
    </xf>
    <xf numFmtId="0" fontId="123" fillId="21" borderId="5" xfId="0" applyFont="1" applyFill="1" applyBorder="1" applyAlignment="1">
      <alignment horizontal="left" vertical="top" wrapText="1"/>
    </xf>
  </cellXfs>
  <cellStyles count="10">
    <cellStyle name="Comma" xfId="9" builtinId="3"/>
    <cellStyle name="Currency" xfId="7" builtinId="4"/>
    <cellStyle name="Hyperlink" xfId="2" builtinId="8"/>
    <cellStyle name="Milliers 2" xfId="5"/>
    <cellStyle name="Milliers 3" xfId="8"/>
    <cellStyle name="Normal" xfId="0" builtinId="0"/>
    <cellStyle name="Normal 2" xfId="4"/>
    <cellStyle name="Normal 5" xfId="1"/>
    <cellStyle name="Percent" xfId="3" builtinId="5"/>
    <cellStyle name="Pourcentage 2" xfId="6"/>
  </cellStyles>
  <dxfs count="159">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1"/>
        <color rgb="FF000000"/>
        <name val="Calibri"/>
        <scheme val="minor"/>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rgb="FF000000"/>
        <name val="Calibri"/>
        <scheme val="minor"/>
      </font>
    </dxf>
    <dxf>
      <font>
        <strike val="0"/>
        <outline val="0"/>
        <shadow val="0"/>
        <u val="none"/>
        <vertAlign val="baseline"/>
        <sz val="11"/>
        <color theme="3"/>
        <name val="Calibri"/>
        <scheme val="minor"/>
      </font>
    </dxf>
    <dxf>
      <font>
        <strike val="0"/>
        <outline val="0"/>
        <shadow val="0"/>
        <u val="none"/>
        <vertAlign val="baseline"/>
        <sz val="11"/>
        <color theme="3"/>
        <name val="Calibri"/>
        <scheme val="minor"/>
      </font>
    </dxf>
    <dxf>
      <font>
        <b/>
        <i val="0"/>
        <strike val="0"/>
        <condense val="0"/>
        <extend val="0"/>
        <outline val="0"/>
        <shadow val="0"/>
        <u val="none"/>
        <vertAlign val="baseline"/>
        <sz val="11"/>
        <color theme="3"/>
        <name val="Calibri"/>
        <scheme val="minor"/>
      </font>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dxf>
    <dxf>
      <font>
        <strike val="0"/>
        <outline val="0"/>
        <shadow val="0"/>
        <u val="none"/>
        <vertAlign val="baseline"/>
        <sz val="11"/>
        <color theme="3"/>
        <name val="Calibri"/>
        <scheme val="minor"/>
      </font>
    </dxf>
    <dxf>
      <font>
        <strike val="0"/>
        <outline val="0"/>
        <shadow val="0"/>
        <u val="none"/>
        <vertAlign val="baseline"/>
        <sz val="11"/>
        <color theme="3"/>
        <name val="Calibri"/>
        <scheme val="minor"/>
      </font>
    </dxf>
    <dxf>
      <font>
        <strike val="0"/>
        <outline val="0"/>
        <shadow val="0"/>
        <u val="none"/>
        <vertAlign val="baseline"/>
        <sz val="11"/>
        <color theme="3"/>
        <name val="Calibri"/>
        <scheme val="minor"/>
      </font>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dxf>
    <dxf>
      <font>
        <strike val="0"/>
        <outline val="0"/>
        <shadow val="0"/>
        <u val="none"/>
        <vertAlign val="baseline"/>
        <sz val="11"/>
        <color theme="3"/>
        <name val="Calibri"/>
        <scheme val="minor"/>
      </font>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dxf>
    <dxf>
      <font>
        <strike val="0"/>
        <outline val="0"/>
        <shadow val="0"/>
        <u val="none"/>
        <vertAlign val="baseline"/>
        <sz val="11"/>
        <color theme="3"/>
        <name val="Calibri"/>
        <scheme val="minor"/>
      </font>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dxf>
    <dxf>
      <font>
        <strike val="0"/>
        <outline val="0"/>
        <shadow val="0"/>
        <u val="none"/>
        <vertAlign val="baseline"/>
        <sz val="11"/>
        <color theme="3"/>
        <name val="Calibri"/>
        <scheme val="minor"/>
      </font>
    </dxf>
    <dxf>
      <font>
        <b/>
        <i val="0"/>
        <strike val="0"/>
        <condense val="0"/>
        <extend val="0"/>
        <outline val="0"/>
        <shadow val="0"/>
        <u val="none"/>
        <vertAlign val="baseline"/>
        <sz val="11"/>
        <color theme="3"/>
        <name val="Calibri"/>
        <scheme val="minor"/>
      </font>
    </dxf>
    <dxf>
      <font>
        <strike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dxf>
    <dxf>
      <font>
        <strike val="0"/>
        <outline val="0"/>
        <shadow val="0"/>
        <u val="none"/>
        <vertAlign val="baseline"/>
        <sz val="11"/>
        <color theme="3"/>
        <name val="Calibri"/>
        <scheme val="minor"/>
      </font>
    </dxf>
    <dxf>
      <font>
        <strike val="0"/>
        <outline val="0"/>
        <shadow val="0"/>
        <u val="none"/>
        <vertAlign val="baseline"/>
        <sz val="11"/>
        <color theme="3"/>
        <name val="Calibri"/>
        <scheme val="minor"/>
      </font>
    </dxf>
    <dxf>
      <font>
        <b/>
        <i val="0"/>
        <strike val="0"/>
        <condense val="0"/>
        <extend val="0"/>
        <outline val="0"/>
        <shadow val="0"/>
        <u val="none"/>
        <vertAlign val="baseline"/>
        <sz val="11"/>
        <color theme="3"/>
        <name val="Calibri"/>
        <scheme val="minor"/>
      </font>
    </dxf>
    <dxf>
      <font>
        <strike val="0"/>
        <outline val="0"/>
        <shadow val="0"/>
        <u val="none"/>
        <vertAlign val="baseline"/>
        <sz val="11"/>
        <color theme="3"/>
        <name val="Calibri"/>
        <scheme val="minor"/>
      </font>
      <alignment horizontal="left" vertical="top" textRotation="0" wrapText="0" indent="0" justifyLastLine="0" shrinkToFit="0" readingOrder="0"/>
    </dxf>
    <dxf>
      <font>
        <strike val="0"/>
        <outline val="0"/>
        <shadow val="0"/>
        <u val="none"/>
        <vertAlign val="baseline"/>
        <sz val="11"/>
        <color theme="3"/>
        <name val="Calibri"/>
        <scheme val="minor"/>
      </font>
      <alignment horizontal="left" vertical="top" textRotation="0" wrapText="0" indent="0" justifyLastLine="0" shrinkToFit="0" readingOrder="0"/>
    </dxf>
    <dxf>
      <font>
        <b/>
        <i val="0"/>
        <strike val="0"/>
        <condense val="0"/>
        <extend val="0"/>
        <outline val="0"/>
        <shadow val="0"/>
        <u val="none"/>
        <vertAlign val="baseline"/>
        <sz val="11"/>
        <color theme="3"/>
        <name val="Calibri"/>
        <scheme val="minor"/>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00B050"/>
      </font>
    </dxf>
    <dxf>
      <font>
        <color rgb="FFFF0000"/>
      </font>
    </dxf>
    <dxf>
      <font>
        <color rgb="FFFF0000"/>
      </font>
    </dxf>
    <dxf>
      <font>
        <color theme="0"/>
      </font>
    </dxf>
    <dxf>
      <font>
        <color theme="0"/>
      </font>
    </dxf>
    <dxf>
      <font>
        <color theme="0"/>
      </font>
    </dxf>
    <dxf>
      <font>
        <color theme="0"/>
      </font>
      <fill>
        <patternFill>
          <fgColor theme="0"/>
          <bgColor theme="0"/>
        </patternFill>
      </fill>
      <border>
        <left/>
        <right/>
        <top/>
        <bottom/>
      </border>
    </dxf>
    <dxf>
      <fill>
        <patternFill patternType="darkDown">
          <fgColor theme="0"/>
          <bgColor theme="8" tint="0.59996337778862885"/>
        </patternFill>
      </fill>
      <border>
        <left/>
        <right/>
        <top/>
        <bottom/>
      </border>
    </dxf>
    <dxf>
      <fill>
        <patternFill patternType="darkDown">
          <fgColor theme="0"/>
          <bgColor theme="8" tint="0.59996337778862885"/>
        </patternFill>
      </fill>
      <border>
        <left/>
        <right/>
        <top/>
        <bottom/>
      </border>
    </dxf>
    <dxf>
      <fill>
        <patternFill patternType="darkDown">
          <fgColor theme="0"/>
          <bgColor theme="8" tint="0.59996337778862885"/>
        </patternFill>
      </fill>
      <border>
        <left/>
        <right/>
        <top/>
        <bottom/>
      </border>
    </dxf>
    <dxf>
      <fill>
        <patternFill patternType="darkDown">
          <fgColor theme="0"/>
          <bgColor theme="8" tint="0.59996337778862885"/>
        </patternFill>
      </fill>
      <border>
        <left/>
        <right/>
        <top/>
        <bottom/>
      </border>
    </dxf>
    <dxf>
      <fill>
        <patternFill patternType="darkDown">
          <fgColor theme="0"/>
          <bgColor theme="8" tint="0.59996337778862885"/>
        </patternFill>
      </fill>
      <border>
        <left/>
        <right/>
        <top/>
        <bottom/>
      </border>
    </dxf>
    <dxf>
      <fill>
        <patternFill patternType="darkDown">
          <fgColor theme="0"/>
          <bgColor theme="8" tint="0.59996337778862885"/>
        </patternFill>
      </fill>
      <border>
        <left/>
        <right/>
        <top/>
        <bottom/>
      </border>
    </dxf>
    <dxf>
      <fill>
        <patternFill patternType="darkDown">
          <fgColor theme="0"/>
          <bgColor theme="8" tint="0.59996337778862885"/>
        </patternFill>
      </fill>
    </dxf>
    <dxf>
      <fill>
        <patternFill patternType="darkDown">
          <fgColor theme="0"/>
          <bgColor theme="8" tint="0.59996337778862885"/>
        </patternFill>
      </fill>
      <border>
        <left/>
        <right/>
        <top/>
        <bottom/>
      </border>
    </dxf>
    <dxf>
      <font>
        <b/>
        <i val="0"/>
        <color rgb="FF00B050"/>
      </font>
      <fill>
        <patternFill>
          <bgColor theme="9" tint="0.59996337778862885"/>
        </patternFill>
      </fill>
    </dxf>
    <dxf>
      <font>
        <b/>
        <i val="0"/>
        <color rgb="FF00B050"/>
      </font>
      <fill>
        <patternFill>
          <bgColor theme="9" tint="0.59996337778862885"/>
        </patternFill>
      </fill>
    </dxf>
    <dxf>
      <fill>
        <patternFill patternType="darkDown">
          <fgColor theme="0"/>
          <bgColor theme="8" tint="0.59996337778862885"/>
        </patternFill>
      </fill>
    </dxf>
    <dxf>
      <fill>
        <patternFill patternType="darkDown">
          <fgColor theme="0"/>
          <bgColor theme="8" tint="0.59996337778862885"/>
        </patternFill>
      </fill>
      <border>
        <left/>
        <right/>
        <top/>
        <bottom/>
      </border>
    </dxf>
    <dxf>
      <font>
        <color rgb="FF00B050"/>
      </font>
    </dxf>
    <dxf>
      <fill>
        <patternFill patternType="darkDown">
          <fgColor theme="0"/>
          <bgColor theme="8" tint="0.59996337778862885"/>
        </patternFill>
      </fill>
    </dxf>
    <dxf>
      <fill>
        <patternFill patternType="darkDown">
          <fgColor theme="0"/>
          <bgColor theme="8" tint="0.59996337778862885"/>
        </patternFill>
      </fill>
      <border>
        <left/>
        <right/>
        <top/>
        <bottom/>
      </border>
    </dxf>
    <dxf>
      <font>
        <b/>
        <i val="0"/>
        <color theme="7" tint="-0.24994659260841701"/>
      </font>
      <fill>
        <patternFill>
          <bgColor theme="0" tint="-4.9989318521683403E-2"/>
        </patternFill>
      </fill>
    </dxf>
    <dxf>
      <font>
        <b/>
        <i val="0"/>
        <color theme="7" tint="-0.24994659260841701"/>
      </font>
      <fill>
        <patternFill>
          <bgColor theme="0" tint="-4.9989318521683403E-2"/>
        </patternFill>
      </fill>
    </dxf>
    <dxf>
      <font>
        <b/>
        <i val="0"/>
        <color rgb="FFFF0000"/>
      </font>
      <fill>
        <patternFill>
          <bgColor theme="5" tint="0.59996337778862885"/>
        </patternFill>
      </fill>
    </dxf>
    <dxf>
      <font>
        <color rgb="FFFF0000"/>
      </font>
    </dxf>
    <dxf>
      <font>
        <b/>
        <i val="0"/>
        <color rgb="FF00B050"/>
      </font>
      <fill>
        <patternFill>
          <bgColor theme="9" tint="0.59996337778862885"/>
        </patternFill>
      </fill>
    </dxf>
    <dxf>
      <font>
        <color rgb="FFFF0000"/>
      </font>
      <fill>
        <patternFill>
          <bgColor theme="5" tint="0.59996337778862885"/>
        </patternFill>
      </fill>
    </dxf>
    <dxf>
      <font>
        <b/>
        <i val="0"/>
        <color theme="9"/>
      </font>
    </dxf>
    <dxf>
      <font>
        <b/>
        <i val="0"/>
        <color theme="7" tint="-0.24994659260841701"/>
      </font>
      <fill>
        <patternFill patternType="solid">
          <bgColor theme="6" tint="0.59996337778862885"/>
        </patternFill>
      </fill>
    </dxf>
    <dxf>
      <font>
        <b/>
        <i val="0"/>
        <color rgb="FF00B050"/>
      </font>
      <fill>
        <patternFill>
          <bgColor theme="9" tint="0.59996337778862885"/>
        </patternFill>
      </fill>
    </dxf>
    <dxf>
      <fill>
        <patternFill>
          <bgColor theme="7" tint="0.79998168889431442"/>
        </patternFill>
      </fill>
    </dxf>
    <dxf>
      <fill>
        <patternFill patternType="darkDown">
          <fgColor theme="0"/>
          <bgColor theme="8" tint="0.59996337778862885"/>
        </patternFill>
      </fill>
    </dxf>
    <dxf>
      <fill>
        <patternFill patternType="darkDown">
          <fgColor theme="0"/>
          <bgColor theme="8" tint="0.59996337778862885"/>
        </patternFill>
      </fill>
      <border>
        <left/>
        <right/>
        <top/>
        <bottom/>
      </border>
    </dxf>
    <dxf>
      <fill>
        <patternFill patternType="darkDown">
          <fgColor theme="0"/>
          <bgColor theme="8" tint="0.59996337778862885"/>
        </patternFill>
      </fill>
    </dxf>
    <dxf>
      <fill>
        <patternFill patternType="darkDown">
          <fgColor theme="0"/>
          <bgColor theme="8" tint="0.59996337778862885"/>
        </patternFill>
      </fill>
      <border>
        <left/>
        <right/>
        <top/>
        <bottom/>
      </border>
    </dxf>
    <dxf>
      <font>
        <b/>
        <i val="0"/>
      </font>
      <fill>
        <patternFill>
          <bgColor theme="0" tint="-0.14996795556505021"/>
        </patternFill>
      </fill>
    </dxf>
    <dxf>
      <font>
        <b/>
        <i val="0"/>
        <color theme="7" tint="-0.24994659260841701"/>
      </font>
      <fill>
        <patternFill patternType="solid">
          <bgColor theme="6" tint="0.59996337778862885"/>
        </patternFill>
      </fill>
    </dxf>
    <dxf>
      <font>
        <b/>
        <i val="0"/>
        <color rgb="FFFF0000"/>
      </font>
    </dxf>
    <dxf>
      <font>
        <b/>
        <i val="0"/>
        <color theme="9"/>
      </font>
    </dxf>
    <dxf>
      <font>
        <color theme="9"/>
      </font>
      <fill>
        <patternFill>
          <bgColor theme="9" tint="0.59996337778862885"/>
        </patternFill>
      </fill>
    </dxf>
    <dxf>
      <font>
        <b/>
        <i val="0"/>
        <color rgb="FF00B050"/>
      </font>
      <fill>
        <patternFill>
          <bgColor theme="9" tint="0.59996337778862885"/>
        </patternFill>
      </fill>
    </dxf>
    <dxf>
      <font>
        <b/>
        <i val="0"/>
        <color rgb="FFFF0000"/>
      </font>
      <fill>
        <patternFill>
          <bgColor theme="5" tint="0.79998168889431442"/>
        </patternFill>
      </fill>
    </dxf>
    <dxf>
      <font>
        <b/>
        <i val="0"/>
        <color rgb="FF00B050"/>
      </font>
      <fill>
        <patternFill>
          <bgColor theme="9" tint="0.59996337778862885"/>
        </patternFill>
      </fill>
    </dxf>
    <dxf>
      <font>
        <color theme="9"/>
      </font>
      <fill>
        <patternFill>
          <bgColor theme="9" tint="0.59996337778862885"/>
        </patternFill>
      </fill>
    </dxf>
    <dxf>
      <font>
        <b/>
        <i val="0"/>
        <color rgb="FF00B050"/>
      </font>
      <fill>
        <patternFill>
          <bgColor theme="9" tint="0.59996337778862885"/>
        </patternFill>
      </fill>
    </dxf>
    <dxf>
      <font>
        <b/>
        <i val="0"/>
        <color rgb="FFFF0000"/>
      </font>
      <fill>
        <patternFill>
          <bgColor theme="5" tint="0.79998168889431442"/>
        </patternFill>
      </fill>
    </dxf>
    <dxf>
      <font>
        <strike val="0"/>
        <color rgb="FFFF0000"/>
      </font>
    </dxf>
    <dxf>
      <font>
        <b/>
        <i val="0"/>
        <color rgb="FF00B050"/>
      </font>
      <fill>
        <patternFill>
          <bgColor theme="9" tint="0.59996337778862885"/>
        </patternFill>
      </fill>
    </dxf>
    <dxf>
      <font>
        <b/>
        <i val="0"/>
        <color rgb="FFFF0000"/>
      </font>
      <fill>
        <patternFill>
          <bgColor theme="5" tint="0.79998168889431442"/>
        </patternFill>
      </fill>
    </dxf>
    <dxf>
      <font>
        <b/>
        <i val="0"/>
        <color rgb="FF00B050"/>
      </font>
      <fill>
        <patternFill>
          <bgColor theme="9" tint="0.59996337778862885"/>
        </patternFill>
      </fill>
    </dxf>
    <dxf>
      <font>
        <color theme="9"/>
      </font>
      <fill>
        <patternFill>
          <bgColor theme="9" tint="0.59996337778862885"/>
        </patternFill>
      </fill>
    </dxf>
    <dxf>
      <font>
        <b/>
        <i val="0"/>
        <color rgb="FFFF0000"/>
      </font>
      <fill>
        <patternFill>
          <bgColor theme="0" tint="-0.14996795556505021"/>
        </patternFill>
      </fill>
    </dxf>
    <dxf>
      <font>
        <b/>
        <i val="0"/>
        <color rgb="FF00B050"/>
      </font>
      <fill>
        <patternFill>
          <bgColor theme="9" tint="0.59996337778862885"/>
        </patternFill>
      </fill>
    </dxf>
    <dxf>
      <font>
        <b/>
        <i val="0"/>
        <color rgb="FFFF0000"/>
      </font>
      <fill>
        <patternFill>
          <bgColor theme="5" tint="0.79998168889431442"/>
        </patternFill>
      </fill>
    </dxf>
    <dxf>
      <font>
        <b/>
        <i val="0"/>
        <color rgb="FF00B050"/>
      </font>
      <fill>
        <patternFill>
          <bgColor theme="9" tint="0.59996337778862885"/>
        </patternFill>
      </fill>
    </dxf>
    <dxf>
      <font>
        <color theme="0" tint="-4.9989318521683403E-2"/>
      </font>
      <fill>
        <patternFill>
          <fgColor theme="0" tint="-4.9989318521683403E-2"/>
          <bgColor theme="0" tint="-4.9989318521683403E-2"/>
        </patternFill>
      </fill>
    </dxf>
    <dxf>
      <fill>
        <patternFill patternType="darkDown">
          <fgColor theme="0"/>
          <bgColor theme="8" tint="0.59996337778862885"/>
        </patternFill>
      </fill>
      <border>
        <left/>
        <right/>
        <top/>
        <bottom/>
      </border>
    </dxf>
    <dxf>
      <font>
        <color rgb="FFFF0000"/>
      </font>
    </dxf>
    <dxf>
      <font>
        <strike val="0"/>
        <color rgb="FF00B050"/>
      </font>
    </dxf>
    <dxf>
      <font>
        <b/>
        <i val="0"/>
        <color rgb="FFFF0000"/>
      </font>
      <fill>
        <patternFill>
          <bgColor rgb="FFFFCCCC"/>
        </patternFill>
      </fill>
    </dxf>
    <dxf>
      <font>
        <b/>
        <i val="0"/>
        <color rgb="FFFF0000"/>
      </font>
      <fill>
        <patternFill>
          <bgColor rgb="FFFFCCCC"/>
        </patternFill>
      </fill>
    </dxf>
    <dxf>
      <fill>
        <patternFill patternType="darkDown">
          <fgColor theme="0"/>
          <bgColor theme="8" tint="0.59996337778862885"/>
        </patternFill>
      </fill>
    </dxf>
    <dxf>
      <font>
        <strike val="0"/>
      </font>
      <fill>
        <patternFill patternType="darkDown">
          <fgColor theme="0"/>
          <bgColor rgb="FFB4C6E7"/>
        </patternFill>
      </fill>
    </dxf>
    <dxf>
      <font>
        <b/>
        <i val="0"/>
        <color rgb="FFFF0000"/>
      </font>
    </dxf>
    <dxf>
      <fill>
        <patternFill patternType="darkDown">
          <fgColor theme="0"/>
          <bgColor theme="8" tint="0.59996337778862885"/>
        </patternFill>
      </fill>
      <border>
        <left/>
        <right/>
        <top/>
        <bottom/>
      </border>
    </dxf>
    <dxf>
      <fill>
        <patternFill patternType="darkDown">
          <fgColor theme="0"/>
          <bgColor theme="8" tint="0.59996337778862885"/>
        </patternFill>
      </fill>
      <border>
        <left/>
        <right/>
        <top/>
        <bottom/>
      </border>
    </dxf>
    <dxf>
      <fill>
        <patternFill patternType="darkDown">
          <fgColor theme="0"/>
          <bgColor theme="8" tint="0.59996337778862885"/>
        </patternFill>
      </fill>
      <border>
        <left/>
        <right/>
        <top/>
        <bottom/>
      </border>
    </dxf>
    <dxf>
      <fill>
        <patternFill patternType="darkDown">
          <fgColor theme="0"/>
          <bgColor theme="8" tint="0.59996337778862885"/>
        </patternFill>
      </fill>
      <border>
        <left/>
        <right/>
        <top/>
        <bottom/>
        <vertical/>
        <horizontal/>
      </border>
    </dxf>
    <dxf>
      <fill>
        <patternFill patternType="darkDown">
          <fgColor theme="0"/>
          <bgColor theme="8" tint="0.59996337778862885"/>
        </patternFill>
      </fill>
      <border>
        <left/>
        <right/>
        <top/>
        <bottom/>
        <vertical/>
        <horizontal/>
      </border>
    </dxf>
    <dxf>
      <fill>
        <patternFill patternType="darkDown">
          <fgColor theme="0"/>
          <bgColor theme="8" tint="0.59996337778862885"/>
        </patternFill>
      </fill>
      <border>
        <left/>
        <right/>
        <top/>
        <bottom/>
        <vertical/>
        <horizontal/>
      </border>
    </dxf>
    <dxf>
      <fill>
        <patternFill patternType="darkDown">
          <fgColor theme="0"/>
          <bgColor theme="8" tint="0.59996337778862885"/>
        </patternFill>
      </fill>
      <border>
        <left/>
        <right/>
        <top/>
        <bottom/>
        <vertical/>
        <horizontal/>
      </border>
    </dxf>
    <dxf>
      <fill>
        <patternFill patternType="darkDown">
          <fgColor theme="0"/>
          <bgColor theme="8" tint="0.59996337778862885"/>
        </patternFill>
      </fill>
      <border>
        <left/>
        <right/>
        <top/>
        <bottom/>
        <vertical/>
        <horizontal/>
      </border>
    </dxf>
    <dxf>
      <fill>
        <patternFill>
          <bgColor rgb="FFFF0000"/>
        </patternFill>
      </fill>
    </dxf>
    <dxf>
      <fill>
        <patternFill patternType="darkDown">
          <fgColor rgb="FFB4C6E7"/>
          <bgColor auto="1"/>
        </patternFill>
      </fill>
    </dxf>
    <dxf>
      <fill>
        <patternFill patternType="darkDown">
          <fgColor theme="0"/>
          <bgColor theme="8" tint="0.59996337778862885"/>
        </patternFill>
      </fill>
      <border>
        <left/>
        <right/>
        <top/>
        <bottom/>
        <vertical/>
        <horizontal/>
      </border>
    </dxf>
    <dxf>
      <fill>
        <patternFill patternType="darkDown">
          <fgColor theme="0"/>
          <bgColor theme="8" tint="0.59996337778862885"/>
        </patternFill>
      </fill>
      <border>
        <left/>
        <right/>
        <top/>
        <bottom/>
        <vertical/>
        <horizontal/>
      </border>
    </dxf>
    <dxf>
      <font>
        <b/>
        <i val="0"/>
        <color rgb="FF00B050"/>
      </font>
      <fill>
        <patternFill>
          <bgColor theme="0"/>
        </patternFill>
      </fill>
    </dxf>
    <dxf>
      <font>
        <b/>
        <i val="0"/>
        <color rgb="FF00B050"/>
      </font>
      <fill>
        <patternFill>
          <bgColor theme="0"/>
        </patternFill>
      </fill>
    </dxf>
    <dxf>
      <font>
        <color theme="0" tint="-0.14996795556505021"/>
      </font>
    </dxf>
    <dxf>
      <font>
        <b/>
        <i val="0"/>
        <color rgb="FF00B050"/>
      </font>
    </dxf>
    <dxf>
      <font>
        <b/>
        <i val="0"/>
        <color rgb="FF00B050"/>
      </font>
    </dxf>
    <dxf>
      <font>
        <b/>
        <i val="0"/>
        <color rgb="FF00B050"/>
      </font>
      <fill>
        <patternFill>
          <bgColor theme="9" tint="0.59996337778862885"/>
        </patternFill>
      </fill>
    </dxf>
    <dxf>
      <font>
        <b/>
        <i val="0"/>
        <color rgb="FFFF3300"/>
      </font>
    </dxf>
    <dxf>
      <font>
        <b/>
        <i val="0"/>
        <color rgb="FF00B050"/>
      </font>
      <fill>
        <patternFill>
          <bgColor theme="9" tint="0.59996337778862885"/>
        </patternFill>
      </fill>
    </dxf>
    <dxf>
      <font>
        <b/>
        <i val="0"/>
        <color rgb="FF00B050"/>
      </font>
      <fill>
        <patternFill>
          <bgColor theme="9" tint="0.59996337778862885"/>
        </patternFill>
      </fill>
    </dxf>
    <dxf>
      <font>
        <color rgb="FFFF0000"/>
      </font>
      <fill>
        <patternFill>
          <bgColor rgb="FFFF9999"/>
        </patternFill>
      </fill>
    </dxf>
    <dxf>
      <font>
        <b/>
        <i val="0"/>
        <color rgb="FFFF0000"/>
      </font>
      <fill>
        <patternFill>
          <bgColor rgb="FFFFCCCC"/>
        </patternFill>
      </fill>
      <border>
        <left/>
        <right/>
        <top/>
        <bottom/>
        <vertical/>
        <horizontal/>
      </border>
    </dxf>
    <dxf>
      <font>
        <b/>
        <i val="0"/>
        <color rgb="FF00B050"/>
      </font>
    </dxf>
    <dxf>
      <fill>
        <patternFill patternType="darkDown">
          <fgColor theme="0"/>
          <bgColor theme="8" tint="0.59996337778862885"/>
        </patternFill>
      </fill>
      <border>
        <left/>
        <right/>
        <top/>
        <bottom/>
        <vertical/>
        <horizontal/>
      </border>
    </dxf>
    <dxf>
      <font>
        <color theme="0"/>
      </font>
      <fill>
        <patternFill>
          <fgColor theme="0"/>
          <bgColor theme="0"/>
        </patternFill>
      </fill>
      <border>
        <left/>
        <right/>
        <top/>
        <bottom/>
      </border>
    </dxf>
  </dxfs>
  <tableStyles count="0" defaultTableStyle="TableStyleMedium2" defaultPivotStyle="PivotStyleLight16"/>
  <colors>
    <mruColors>
      <color rgb="FFFFF7E1"/>
      <color rgb="FFFF3300"/>
      <color rgb="FFD3DEF1"/>
      <color rgb="FFB4C6E7"/>
      <color rgb="FFFF0000"/>
      <color rgb="FFF2F2F2"/>
      <color rgb="FFD9D9D9"/>
      <color rgb="FFE5EBF7"/>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10/relationships/person" Target="persons/person.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149086</xdr:colOff>
      <xdr:row>1</xdr:row>
      <xdr:rowOff>13465</xdr:rowOff>
    </xdr:from>
    <xdr:to>
      <xdr:col>8</xdr:col>
      <xdr:colOff>183678</xdr:colOff>
      <xdr:row>6</xdr:row>
      <xdr:rowOff>179042</xdr:rowOff>
    </xdr:to>
    <xdr:pic>
      <xdr:nvPicPr>
        <xdr:cNvPr id="5" name="Image 4">
          <a:extLst>
            <a:ext uri="{FF2B5EF4-FFF2-40B4-BE49-F238E27FC236}">
              <a16:creationId xmlns:a16="http://schemas.microsoft.com/office/drawing/2014/main" xmlns="" id="{00000000-0008-0000-0200-000005000000}"/>
            </a:ext>
          </a:extLst>
        </xdr:cNvPr>
        <xdr:cNvPicPr>
          <a:picLocks noChangeAspect="1"/>
        </xdr:cNvPicPr>
      </xdr:nvPicPr>
      <xdr:blipFill rotWithShape="1">
        <a:blip xmlns:r="http://schemas.openxmlformats.org/officeDocument/2006/relationships" r:embed="rId1"/>
        <a:srcRect l="7818" t="8205" r="6878" b="7738"/>
        <a:stretch/>
      </xdr:blipFill>
      <xdr:spPr>
        <a:xfrm>
          <a:off x="7893325" y="386182"/>
          <a:ext cx="1753877" cy="1137818"/>
        </a:xfrm>
        <a:prstGeom prst="rect">
          <a:avLst/>
        </a:prstGeom>
      </xdr:spPr>
    </xdr:pic>
    <xdr:clientData/>
  </xdr:twoCellAnchor>
  <xdr:twoCellAnchor editAs="oneCell">
    <xdr:from>
      <xdr:col>18</xdr:col>
      <xdr:colOff>322560</xdr:colOff>
      <xdr:row>63</xdr:row>
      <xdr:rowOff>166832</xdr:rowOff>
    </xdr:from>
    <xdr:to>
      <xdr:col>21</xdr:col>
      <xdr:colOff>752006</xdr:colOff>
      <xdr:row>74</xdr:row>
      <xdr:rowOff>46980</xdr:rowOff>
    </xdr:to>
    <xdr:pic>
      <xdr:nvPicPr>
        <xdr:cNvPr id="2" name="Image 1" descr="Comprendre les zones climatiques de la RT 2012 | Isonat">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87378" y="14702559"/>
          <a:ext cx="2819355" cy="2668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99390</xdr:colOff>
      <xdr:row>1</xdr:row>
      <xdr:rowOff>30030</xdr:rowOff>
    </xdr:from>
    <xdr:to>
      <xdr:col>7</xdr:col>
      <xdr:colOff>1817066</xdr:colOff>
      <xdr:row>6</xdr:row>
      <xdr:rowOff>123449</xdr:rowOff>
    </xdr:to>
    <xdr:pic>
      <xdr:nvPicPr>
        <xdr:cNvPr id="2" name="Image 1">
          <a:extLst>
            <a:ext uri="{FF2B5EF4-FFF2-40B4-BE49-F238E27FC236}">
              <a16:creationId xmlns:a16="http://schemas.microsoft.com/office/drawing/2014/main" xmlns="" id="{00000000-0008-0000-0300-000002000000}"/>
            </a:ext>
          </a:extLst>
        </xdr:cNvPr>
        <xdr:cNvPicPr>
          <a:picLocks noChangeAspect="1"/>
        </xdr:cNvPicPr>
      </xdr:nvPicPr>
      <xdr:blipFill rotWithShape="1">
        <a:blip xmlns:r="http://schemas.openxmlformats.org/officeDocument/2006/relationships" r:embed="rId1"/>
        <a:srcRect l="7818" t="8205" r="6878" b="7738"/>
        <a:stretch/>
      </xdr:blipFill>
      <xdr:spPr>
        <a:xfrm>
          <a:off x="9002090" y="398330"/>
          <a:ext cx="1723060" cy="10681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2074068</xdr:colOff>
      <xdr:row>37</xdr:row>
      <xdr:rowOff>79458</xdr:rowOff>
    </xdr:from>
    <xdr:to>
      <xdr:col>4</xdr:col>
      <xdr:colOff>2190749</xdr:colOff>
      <xdr:row>56</xdr:row>
      <xdr:rowOff>78897</xdr:rowOff>
    </xdr:to>
    <xdr:pic>
      <xdr:nvPicPr>
        <xdr:cNvPr id="2" name="Imag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2836068" y="8747208"/>
          <a:ext cx="6641306" cy="4380939"/>
        </a:xfrm>
        <a:prstGeom prst="rect">
          <a:avLst/>
        </a:prstGeom>
      </xdr:spPr>
    </xdr:pic>
    <xdr:clientData/>
  </xdr:twoCellAnchor>
  <xdr:twoCellAnchor editAs="oneCell">
    <xdr:from>
      <xdr:col>7</xdr:col>
      <xdr:colOff>487296</xdr:colOff>
      <xdr:row>7</xdr:row>
      <xdr:rowOff>17082</xdr:rowOff>
    </xdr:from>
    <xdr:to>
      <xdr:col>13</xdr:col>
      <xdr:colOff>621630</xdr:colOff>
      <xdr:row>25</xdr:row>
      <xdr:rowOff>159242</xdr:rowOff>
    </xdr:to>
    <xdr:pic>
      <xdr:nvPicPr>
        <xdr:cNvPr id="13" name="Image 2">
          <a:extLst>
            <a:ext uri="{FF2B5EF4-FFF2-40B4-BE49-F238E27FC236}">
              <a16:creationId xmlns:a16="http://schemas.microsoft.com/office/drawing/2014/main" xmlns="" id="{00000000-0008-0000-0400-000006000000}"/>
            </a:ext>
            <a:ext uri="{147F2762-F138-4A5C-976F-8EAC2B608ADB}">
              <a16:predDERef xmlns:a16="http://schemas.microsoft.com/office/drawing/2014/main" xmlns="" pred="{00000000-0008-0000-0400-000002000000}"/>
            </a:ext>
          </a:extLst>
        </xdr:cNvPr>
        <xdr:cNvPicPr>
          <a:picLocks noChangeAspect="1"/>
        </xdr:cNvPicPr>
      </xdr:nvPicPr>
      <xdr:blipFill>
        <a:blip xmlns:r="http://schemas.openxmlformats.org/officeDocument/2006/relationships" r:embed="rId2"/>
        <a:stretch>
          <a:fillRect/>
        </a:stretch>
      </xdr:blipFill>
      <xdr:spPr>
        <a:xfrm>
          <a:off x="13155546" y="1663546"/>
          <a:ext cx="6417659" cy="3710407"/>
        </a:xfrm>
        <a:prstGeom prst="rect">
          <a:avLst/>
        </a:prstGeom>
      </xdr:spPr>
    </xdr:pic>
    <xdr:clientData/>
  </xdr:twoCellAnchor>
  <xdr:twoCellAnchor editAs="oneCell">
    <xdr:from>
      <xdr:col>7</xdr:col>
      <xdr:colOff>514350</xdr:colOff>
      <xdr:row>27</xdr:row>
      <xdr:rowOff>0</xdr:rowOff>
    </xdr:from>
    <xdr:to>
      <xdr:col>12</xdr:col>
      <xdr:colOff>577850</xdr:colOff>
      <xdr:row>29</xdr:row>
      <xdr:rowOff>76200</xdr:rowOff>
    </xdr:to>
    <xdr:pic>
      <xdr:nvPicPr>
        <xdr:cNvPr id="9" name="Image 3">
          <a:extLst>
            <a:ext uri="{FF2B5EF4-FFF2-40B4-BE49-F238E27FC236}">
              <a16:creationId xmlns:a16="http://schemas.microsoft.com/office/drawing/2014/main" xmlns="" id="{B79F4F7C-3B54-3D69-3382-7D68C39D6FC4}"/>
            </a:ext>
            <a:ext uri="{147F2762-F138-4A5C-976F-8EAC2B608ADB}">
              <a16:predDERef xmlns:a16="http://schemas.microsoft.com/office/drawing/2014/main" xmlns="" pred="{CE8665D2-0801-D5EC-0172-DD8DC9463A48}"/>
            </a:ext>
          </a:extLst>
        </xdr:cNvPr>
        <xdr:cNvPicPr>
          <a:picLocks noChangeAspect="1"/>
        </xdr:cNvPicPr>
      </xdr:nvPicPr>
      <xdr:blipFill>
        <a:blip xmlns:r="http://schemas.openxmlformats.org/officeDocument/2006/relationships" r:embed="rId3"/>
        <a:stretch>
          <a:fillRect/>
        </a:stretch>
      </xdr:blipFill>
      <xdr:spPr>
        <a:xfrm>
          <a:off x="12592050" y="6115050"/>
          <a:ext cx="5286375" cy="457200"/>
        </a:xfrm>
        <a:prstGeom prst="rect">
          <a:avLst/>
        </a:prstGeom>
      </xdr:spPr>
    </xdr:pic>
    <xdr:clientData/>
  </xdr:twoCellAnchor>
  <xdr:twoCellAnchor editAs="oneCell">
    <xdr:from>
      <xdr:col>7</xdr:col>
      <xdr:colOff>457200</xdr:colOff>
      <xdr:row>28</xdr:row>
      <xdr:rowOff>133350</xdr:rowOff>
    </xdr:from>
    <xdr:to>
      <xdr:col>12</xdr:col>
      <xdr:colOff>723900</xdr:colOff>
      <xdr:row>29</xdr:row>
      <xdr:rowOff>114300</xdr:rowOff>
    </xdr:to>
    <xdr:pic>
      <xdr:nvPicPr>
        <xdr:cNvPr id="12" name="Image 4">
          <a:extLst>
            <a:ext uri="{FF2B5EF4-FFF2-40B4-BE49-F238E27FC236}">
              <a16:creationId xmlns:a16="http://schemas.microsoft.com/office/drawing/2014/main" xmlns="" id="{3A9A7551-0495-96B7-C6F2-9E66749BFB13}"/>
            </a:ext>
            <a:ext uri="{147F2762-F138-4A5C-976F-8EAC2B608ADB}">
              <a16:predDERef xmlns:a16="http://schemas.microsoft.com/office/drawing/2014/main" xmlns="" pred="{B79F4F7C-3B54-3D69-3382-7D68C39D6FC4}"/>
            </a:ext>
          </a:extLst>
        </xdr:cNvPr>
        <xdr:cNvPicPr>
          <a:picLocks noChangeAspect="1"/>
        </xdr:cNvPicPr>
      </xdr:nvPicPr>
      <xdr:blipFill>
        <a:blip xmlns:r="http://schemas.openxmlformats.org/officeDocument/2006/relationships" r:embed="rId4"/>
        <a:stretch>
          <a:fillRect/>
        </a:stretch>
      </xdr:blipFill>
      <xdr:spPr>
        <a:xfrm>
          <a:off x="12534900" y="6438900"/>
          <a:ext cx="5486400" cy="171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274970</xdr:colOff>
      <xdr:row>0</xdr:row>
      <xdr:rowOff>0</xdr:rowOff>
    </xdr:from>
    <xdr:to>
      <xdr:col>44</xdr:col>
      <xdr:colOff>202459</xdr:colOff>
      <xdr:row>21</xdr:row>
      <xdr:rowOff>1285548</xdr:rowOff>
    </xdr:to>
    <xdr:pic>
      <xdr:nvPicPr>
        <xdr:cNvPr id="2" name="Image 1" descr="Une image contenant texte, capture d’écran, Police, nombre&#10;&#10;Description générée automatiquement">
          <a:extLst>
            <a:ext uri="{FF2B5EF4-FFF2-40B4-BE49-F238E27FC236}">
              <a16:creationId xmlns:a16="http://schemas.microsoft.com/office/drawing/2014/main" xmlns="" id="{00000000-0008-0000-09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066" r="19832"/>
        <a:stretch/>
      </xdr:blipFill>
      <xdr:spPr bwMode="auto">
        <a:xfrm rot="5400000">
          <a:off x="18463378" y="-2500733"/>
          <a:ext cx="7292648" cy="12294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ersonal/mickael_heitzmann_ademe_fr/Documents/FC%202024/CCR/AF%20fonds%20chaleur%202023.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demecloud-my.sharepoint.com/Users/vayssief/AppData/Local/Microsoft/Windows/INetCache/Content.Outlook/NCAFY2V3/AF_contrat_dev_enr_2020_deverouill&#233;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eme.intra\regions$\P-T_ENERGETIQUE\Th-EnR\07-COT_EnR\stage2020\03%20-%20Outils\03%20-%20Fiches%20projets\Fiches%202020\Biomasse\Fiche%20PA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ERVICES\SFAB\ECHANGES\BOIS%20ENERGIE\Fonds%20Chaleur\M&#233;thode%20FC\2020\Tableur\Tableur_biomasse_v2020%20VF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List"/>
      <sheetName val="AF fonds chaleur"/>
      <sheetName val="ERD"/>
      <sheetName val="Attestation obj"/>
      <sheetName val="Attestation DN"/>
    </sheetNames>
    <sheetDataSet>
      <sheetData sheetId="0">
        <row r="4">
          <cell r="K4" t="str">
            <v>Economique-Petite-Métropole</v>
          </cell>
          <cell r="L4">
            <v>0.65</v>
          </cell>
          <cell r="M4">
            <v>0.65</v>
          </cell>
          <cell r="N4">
            <v>0.65</v>
          </cell>
          <cell r="O4">
            <v>0.5</v>
          </cell>
          <cell r="AA4" t="str">
            <v>Economique-Petite-Métropole</v>
          </cell>
          <cell r="AB4">
            <v>0.65</v>
          </cell>
          <cell r="AC4">
            <v>0.65</v>
          </cell>
          <cell r="AD4">
            <v>0.65</v>
          </cell>
          <cell r="AE4">
            <v>0.5</v>
          </cell>
        </row>
        <row r="5">
          <cell r="K5" t="str">
            <v>Economique-Petite-Corse</v>
          </cell>
          <cell r="L5">
            <v>0.70000000000000007</v>
          </cell>
          <cell r="M5">
            <v>0.70000000000000007</v>
          </cell>
          <cell r="N5">
            <v>0.70000000000000007</v>
          </cell>
          <cell r="O5">
            <v>0.55000000000000004</v>
          </cell>
          <cell r="AA5" t="str">
            <v>Economique-Petite-Corse</v>
          </cell>
          <cell r="AB5">
            <v>0.70000000000000007</v>
          </cell>
          <cell r="AC5">
            <v>0.70000000000000007</v>
          </cell>
          <cell r="AD5">
            <v>0.70000000000000007</v>
          </cell>
          <cell r="AE5">
            <v>0.55000000000000004</v>
          </cell>
        </row>
        <row r="6">
          <cell r="K6" t="str">
            <v>Economique-Petite-Zone AFR</v>
          </cell>
          <cell r="L6">
            <v>0.70000000000000007</v>
          </cell>
          <cell r="M6">
            <v>0.70000000000000007</v>
          </cell>
          <cell r="N6">
            <v>0.70000000000000007</v>
          </cell>
          <cell r="O6">
            <v>0.55000000000000004</v>
          </cell>
          <cell r="AA6" t="str">
            <v>Economique-Petite-Zone AFR</v>
          </cell>
          <cell r="AB6">
            <v>0.70000000000000007</v>
          </cell>
          <cell r="AC6">
            <v>0.70000000000000007</v>
          </cell>
          <cell r="AD6">
            <v>0.70000000000000007</v>
          </cell>
          <cell r="AE6">
            <v>0.55000000000000004</v>
          </cell>
        </row>
        <row r="7">
          <cell r="K7" t="str">
            <v>Economique-Petite-DROM-COM</v>
          </cell>
          <cell r="L7">
            <v>0.8</v>
          </cell>
          <cell r="M7">
            <v>0.8</v>
          </cell>
          <cell r="N7">
            <v>0.8</v>
          </cell>
          <cell r="O7">
            <v>0.65</v>
          </cell>
          <cell r="AA7" t="str">
            <v>Economique-Petite-DROM-COM</v>
          </cell>
          <cell r="AB7">
            <v>0.8</v>
          </cell>
          <cell r="AC7">
            <v>0.8</v>
          </cell>
          <cell r="AD7">
            <v>0.8</v>
          </cell>
          <cell r="AE7">
            <v>0.65</v>
          </cell>
        </row>
        <row r="9">
          <cell r="K9" t="str">
            <v>Economique-Moyenne-Métropole</v>
          </cell>
          <cell r="L9">
            <v>0.55000000000000004</v>
          </cell>
          <cell r="M9">
            <v>0.55000000000000004</v>
          </cell>
          <cell r="N9">
            <v>0.55000000000000004</v>
          </cell>
          <cell r="O9">
            <v>0.4</v>
          </cell>
          <cell r="AA9" t="str">
            <v>Economique-Moyenne-Métropole</v>
          </cell>
          <cell r="AB9">
            <v>0.55000000000000004</v>
          </cell>
          <cell r="AC9">
            <v>0.55000000000000004</v>
          </cell>
          <cell r="AD9">
            <v>0.55000000000000004</v>
          </cell>
          <cell r="AE9">
            <v>0.4</v>
          </cell>
        </row>
        <row r="10">
          <cell r="K10" t="str">
            <v>Economique-Moyenne-Corse</v>
          </cell>
          <cell r="L10">
            <v>0.60000000000000009</v>
          </cell>
          <cell r="M10">
            <v>0.60000000000000009</v>
          </cell>
          <cell r="N10">
            <v>0.60000000000000009</v>
          </cell>
          <cell r="O10">
            <v>0.45</v>
          </cell>
          <cell r="AA10" t="str">
            <v>Economique-Moyenne-Corse</v>
          </cell>
          <cell r="AB10">
            <v>0.60000000000000009</v>
          </cell>
          <cell r="AC10">
            <v>0.60000000000000009</v>
          </cell>
          <cell r="AD10">
            <v>0.60000000000000009</v>
          </cell>
          <cell r="AE10">
            <v>0.45</v>
          </cell>
        </row>
        <row r="11">
          <cell r="K11" t="str">
            <v>Economique-Moyenne-Zone AFR</v>
          </cell>
          <cell r="L11">
            <v>0.60000000000000009</v>
          </cell>
          <cell r="M11">
            <v>0.60000000000000009</v>
          </cell>
          <cell r="N11">
            <v>0.60000000000000009</v>
          </cell>
          <cell r="O11">
            <v>0.45</v>
          </cell>
          <cell r="AA11" t="str">
            <v>Economique-Moyenne-Zone AFR</v>
          </cell>
          <cell r="AB11">
            <v>0.60000000000000009</v>
          </cell>
          <cell r="AC11">
            <v>0.60000000000000009</v>
          </cell>
          <cell r="AD11">
            <v>0.60000000000000009</v>
          </cell>
          <cell r="AE11">
            <v>0.45</v>
          </cell>
        </row>
        <row r="12">
          <cell r="K12" t="str">
            <v>Economique-Moyenne-DROM-COM</v>
          </cell>
          <cell r="L12">
            <v>0.70000000000000007</v>
          </cell>
          <cell r="M12">
            <v>0.70000000000000007</v>
          </cell>
          <cell r="N12">
            <v>0.70000000000000007</v>
          </cell>
          <cell r="O12">
            <v>0.55000000000000004</v>
          </cell>
          <cell r="AA12" t="str">
            <v>Economique-Moyenne-DROM-COM</v>
          </cell>
          <cell r="AB12">
            <v>0.70000000000000007</v>
          </cell>
          <cell r="AC12">
            <v>0.70000000000000007</v>
          </cell>
          <cell r="AD12">
            <v>0.70000000000000007</v>
          </cell>
          <cell r="AE12">
            <v>0.55000000000000004</v>
          </cell>
        </row>
        <row r="13">
          <cell r="K13" t="str">
            <v>Economique-Grande-Métropole</v>
          </cell>
          <cell r="L13">
            <v>0.45</v>
          </cell>
          <cell r="M13">
            <v>0.45</v>
          </cell>
          <cell r="N13">
            <v>0.45</v>
          </cell>
          <cell r="O13">
            <v>0.3</v>
          </cell>
          <cell r="AA13" t="str">
            <v>Economique-Grande-Métropole</v>
          </cell>
          <cell r="AB13">
            <v>0.45</v>
          </cell>
          <cell r="AC13">
            <v>0.45</v>
          </cell>
          <cell r="AD13">
            <v>0.45</v>
          </cell>
          <cell r="AE13">
            <v>0.3</v>
          </cell>
        </row>
        <row r="14">
          <cell r="K14" t="str">
            <v>Economique-Grande-Corse</v>
          </cell>
          <cell r="L14">
            <v>0.5</v>
          </cell>
          <cell r="M14">
            <v>0.5</v>
          </cell>
          <cell r="N14">
            <v>0.5</v>
          </cell>
          <cell r="O14">
            <v>0.35</v>
          </cell>
          <cell r="AA14" t="str">
            <v>Economique-Grande-Corse</v>
          </cell>
          <cell r="AB14">
            <v>0.5</v>
          </cell>
          <cell r="AC14">
            <v>0.5</v>
          </cell>
          <cell r="AD14">
            <v>0.5</v>
          </cell>
          <cell r="AE14">
            <v>0.35</v>
          </cell>
        </row>
        <row r="15">
          <cell r="K15" t="str">
            <v>Economique-Grande-Zone AFR</v>
          </cell>
          <cell r="L15">
            <v>0.5</v>
          </cell>
          <cell r="M15">
            <v>0.5</v>
          </cell>
          <cell r="N15">
            <v>0.5</v>
          </cell>
          <cell r="O15">
            <v>0.35</v>
          </cell>
          <cell r="AA15" t="str">
            <v>Economique-Grande-Zone AFR</v>
          </cell>
          <cell r="AB15">
            <v>0.5</v>
          </cell>
          <cell r="AC15">
            <v>0.5</v>
          </cell>
          <cell r="AD15">
            <v>0.5</v>
          </cell>
          <cell r="AE15">
            <v>0.35</v>
          </cell>
        </row>
        <row r="16">
          <cell r="K16" t="str">
            <v>Economique-Grande-DROM-COM</v>
          </cell>
          <cell r="L16">
            <v>0.6</v>
          </cell>
          <cell r="M16">
            <v>0.6</v>
          </cell>
          <cell r="N16">
            <v>0.6</v>
          </cell>
          <cell r="O16">
            <v>0.44999999999999996</v>
          </cell>
          <cell r="AA16" t="str">
            <v>Economique-Grande-DROM-COM</v>
          </cell>
          <cell r="AB16">
            <v>0.6</v>
          </cell>
          <cell r="AC16">
            <v>0.6</v>
          </cell>
          <cell r="AD16">
            <v>0.6</v>
          </cell>
          <cell r="AE16">
            <v>0.44999999999999996</v>
          </cell>
        </row>
        <row r="17">
          <cell r="J17" t="str">
            <v>Métropole</v>
          </cell>
          <cell r="L17">
            <v>0.65</v>
          </cell>
          <cell r="M17">
            <v>0.65</v>
          </cell>
          <cell r="N17">
            <v>0.8</v>
          </cell>
        </row>
        <row r="18">
          <cell r="J18" t="str">
            <v>Corse</v>
          </cell>
          <cell r="L18">
            <v>0.70000000000000007</v>
          </cell>
          <cell r="M18">
            <v>0.70000000000000007</v>
          </cell>
          <cell r="N18">
            <v>0.8</v>
          </cell>
        </row>
        <row r="19">
          <cell r="J19" t="str">
            <v>Zone AFR</v>
          </cell>
          <cell r="L19">
            <v>0.70000000000000007</v>
          </cell>
          <cell r="M19">
            <v>0.70000000000000007</v>
          </cell>
          <cell r="N19">
            <v>0.8</v>
          </cell>
        </row>
        <row r="20">
          <cell r="J20" t="str">
            <v>DROM-COM</v>
          </cell>
          <cell r="L20">
            <v>0.8</v>
          </cell>
          <cell r="M20">
            <v>0.8</v>
          </cell>
          <cell r="N20">
            <v>1</v>
          </cell>
        </row>
        <row r="21">
          <cell r="S21" t="str">
            <v>collectif / tertiaire</v>
          </cell>
          <cell r="T21" t="str">
            <v>industrie / agricole</v>
          </cell>
        </row>
        <row r="22">
          <cell r="S22">
            <v>21</v>
          </cell>
          <cell r="T22">
            <v>12</v>
          </cell>
        </row>
        <row r="23">
          <cell r="S23">
            <v>10</v>
          </cell>
          <cell r="T23">
            <v>6</v>
          </cell>
        </row>
        <row r="24">
          <cell r="S24">
            <v>5</v>
          </cell>
          <cell r="T24">
            <v>3</v>
          </cell>
        </row>
        <row r="25">
          <cell r="S25">
            <v>4</v>
          </cell>
          <cell r="T25">
            <v>1</v>
          </cell>
        </row>
        <row r="28">
          <cell r="S28" t="str">
            <v>collectif / tertiaire</v>
          </cell>
          <cell r="T28" t="str">
            <v>industrie / agricole</v>
          </cell>
        </row>
        <row r="29">
          <cell r="S29">
            <v>9</v>
          </cell>
          <cell r="T29">
            <v>5</v>
          </cell>
        </row>
        <row r="30">
          <cell r="S30">
            <v>4</v>
          </cell>
          <cell r="T30">
            <v>2.5</v>
          </cell>
        </row>
        <row r="31">
          <cell r="S31">
            <v>2</v>
          </cell>
          <cell r="T31">
            <v>1</v>
          </cell>
        </row>
        <row r="32">
          <cell r="S32">
            <v>1.5</v>
          </cell>
          <cell r="T32">
            <v>0.5</v>
          </cell>
        </row>
      </sheetData>
      <sheetData sheetId="1">
        <row r="2">
          <cell r="A2" t="str">
            <v>Economique</v>
          </cell>
          <cell r="D2" t="str">
            <v>Forfait</v>
          </cell>
          <cell r="E2" t="str">
            <v>Oui</v>
          </cell>
        </row>
        <row r="3">
          <cell r="A3" t="str">
            <v>Non économique</v>
          </cell>
          <cell r="D3" t="str">
            <v>Analyse économique</v>
          </cell>
        </row>
      </sheetData>
      <sheetData sheetId="2">
        <row r="16">
          <cell r="D16" t="str">
            <v>Non économique</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Analyse"/>
      <sheetName val="paramètres entrée"/>
      <sheetName val="fiche synth EF"/>
      <sheetName val="conso_batiments"/>
      <sheetName val="R23"/>
      <sheetName val="Bonus_CPER"/>
    </sheetNames>
    <sheetDataSet>
      <sheetData sheetId="0"/>
      <sheetData sheetId="1"/>
      <sheetData sheetId="2"/>
      <sheetData sheetId="3">
        <row r="56">
          <cell r="B56">
            <v>0</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sheetName val="List"/>
      <sheetName val="Paramètres"/>
      <sheetName val="ERD"/>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Fiche de vérification"/>
      <sheetName val="Valeurs de reference"/>
      <sheetName val="Fiche de synthèse"/>
      <sheetName val="Aide au calcul"/>
      <sheetName val="listes deroulantes"/>
    </sheetNames>
    <sheetDataSet>
      <sheetData sheetId="0"/>
      <sheetData sheetId="1">
        <row r="16">
          <cell r="B16">
            <v>1</v>
          </cell>
          <cell r="F16">
            <v>12001</v>
          </cell>
        </row>
        <row r="17">
          <cell r="F17" t="str">
            <v>Saisir la valeur</v>
          </cell>
        </row>
        <row r="19">
          <cell r="F19" t="str">
            <v>Saisir la valeur</v>
          </cell>
        </row>
        <row r="23">
          <cell r="F23" t="str">
            <v>Saisir la valeur</v>
          </cell>
        </row>
        <row r="63">
          <cell r="F63" t="str">
            <v>Saisir la valeur</v>
          </cell>
        </row>
        <row r="65">
          <cell r="F65" t="str">
            <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comparaison"/>
      <sheetName val="Plafonnements"/>
      <sheetName val="TEC Production"/>
      <sheetName val="TEC Réseau"/>
      <sheetName val="Evolution couts"/>
      <sheetName val="Détails sous-stations"/>
      <sheetName val="Hypothèses à retenir pour 2020"/>
      <sheetName val="menu deroulant"/>
      <sheetName val="evolution CCE"/>
      <sheetName val="Feuil1"/>
      <sheetName val="valeurs de reference"/>
      <sheetName val="fiche de vérification"/>
    </sheetNames>
    <sheetDataSet>
      <sheetData sheetId="0" refreshError="1"/>
      <sheetData sheetId="1" refreshError="1">
        <row r="10">
          <cell r="D10" t="str">
            <v>Concurrentiel</v>
          </cell>
        </row>
        <row r="19">
          <cell r="D19">
            <v>3500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PORTIER Louis" id="{F1D32F4F-7090-4C95-812B-8F6B7BADD625}" userId="S::louis.portier@ademe.fr::d31975a2-1a9b-43b1-a964-6ea43d3b8349" providerId="AD"/>
  <person displayName="HEITZMANN Mickaël" id="{47D0B158-3935-4929-B9F8-C5AA95300FD8}" userId="S::mickael.heitzmann@ademe.fr::bbb02407-6f63-450c-b9e2-14c01c132eb9" providerId="AD"/>
</personList>
</file>

<file path=xl/tables/table1.xml><?xml version="1.0" encoding="utf-8"?>
<table xmlns="http://schemas.openxmlformats.org/spreadsheetml/2006/main" id="1" name="B_dpe" displayName="B_dpe" ref="A5:A14" totalsRowShown="0" headerRowDxfId="57" dataDxfId="56">
  <autoFilter ref="A5:A14"/>
  <tableColumns count="1">
    <tableColumn id="1" name="DPE" dataDxfId="55"/>
  </tableColumns>
  <tableStyleInfo name="TableStyleMedium2" showFirstColumn="0" showLastColumn="0" showRowStripes="1" showColumnStripes="0"/>
</table>
</file>

<file path=xl/tables/table2.xml><?xml version="1.0" encoding="utf-8"?>
<table xmlns="http://schemas.openxmlformats.org/spreadsheetml/2006/main" id="2" name="B_ouinon" displayName="B_ouinon" ref="C5:C9" totalsRowShown="0" headerRowDxfId="54" dataDxfId="53">
  <autoFilter ref="C5:C9"/>
  <tableColumns count="1">
    <tableColumn id="1" name="Oui/non" dataDxfId="52"/>
  </tableColumns>
  <tableStyleInfo name="TableStyleMedium2" showFirstColumn="0" showLastColumn="0" showRowStripes="1" showColumnStripes="0"/>
</table>
</file>

<file path=xl/tables/table3.xml><?xml version="1.0" encoding="utf-8"?>
<table xmlns="http://schemas.openxmlformats.org/spreadsheetml/2006/main" id="4" name="B_combustible" displayName="B_combustible" ref="E5:E10" totalsRowShown="0" headerRowDxfId="51" dataDxfId="50">
  <autoFilter ref="E5:E10"/>
  <tableColumns count="1">
    <tableColumn id="1" name="Combustible" dataDxfId="49"/>
  </tableColumns>
  <tableStyleInfo name="TableStyleMedium2" showFirstColumn="0" showLastColumn="0" showRowStripes="1" showColumnStripes="0"/>
</table>
</file>

<file path=xl/tables/table4.xml><?xml version="1.0" encoding="utf-8"?>
<table xmlns="http://schemas.openxmlformats.org/spreadsheetml/2006/main" id="6" name="B_rge" displayName="B_rge" ref="G5:G12" totalsRowShown="0" headerRowDxfId="48" dataDxfId="47">
  <autoFilter ref="G5:G12"/>
  <tableColumns count="1">
    <tableColumn id="1" name="RGE" dataDxfId="46"/>
  </tableColumns>
  <tableStyleInfo name="TableStyleMedium2" showFirstColumn="0" showLastColumn="0" showRowStripes="1" showColumnStripes="0"/>
</table>
</file>

<file path=xl/tables/table5.xml><?xml version="1.0" encoding="utf-8"?>
<table xmlns="http://schemas.openxmlformats.org/spreadsheetml/2006/main" id="7" name="B_neufexistant" displayName="B_neufexistant" ref="K5:K8" totalsRowShown="0" headerRowDxfId="45" dataDxfId="44">
  <autoFilter ref="K5:K8"/>
  <tableColumns count="1">
    <tableColumn id="1" name="Neuf/Existant" dataDxfId="43"/>
  </tableColumns>
  <tableStyleInfo name="TableStyleMedium2" showFirstColumn="0" showLastColumn="0" showRowStripes="1" showColumnStripes="0"/>
</table>
</file>

<file path=xl/tables/table6.xml><?xml version="1.0" encoding="utf-8"?>
<table xmlns="http://schemas.openxmlformats.org/spreadsheetml/2006/main" id="8" name="B_approvisionnementbiomasse" displayName="B_approvisionnementbiomasse" ref="M5:M23" totalsRowShown="0" headerRowDxfId="42" dataDxfId="41">
  <autoFilter ref="M5:M23"/>
  <tableColumns count="1">
    <tableColumn id="1" name="Approvisionnement biomasse" dataDxfId="40"/>
  </tableColumns>
  <tableStyleInfo name="TableStyleMedium2" showFirstColumn="0" showLastColumn="0" showRowStripes="1" showColumnStripes="0"/>
</table>
</file>

<file path=xl/tables/table7.xml><?xml version="1.0" encoding="utf-8"?>
<table xmlns="http://schemas.openxmlformats.org/spreadsheetml/2006/main" id="9" name="B_typedefoyer" displayName="B_typedefoyer" ref="O5:O9" totalsRowShown="0" headerRowDxfId="39" dataDxfId="38">
  <autoFilter ref="O5:O9"/>
  <tableColumns count="1">
    <tableColumn id="1" name="Type de foyer" dataDxfId="37"/>
  </tableColumns>
  <tableStyleInfo name="TableStyleMedium2" showFirstColumn="0" showLastColumn="0" showRowStripes="1" showColumnStripes="0"/>
</table>
</file>

<file path=xl/tables/table8.xml><?xml version="1.0" encoding="utf-8"?>
<table xmlns="http://schemas.openxmlformats.org/spreadsheetml/2006/main" id="10" name="B_traitementpoussieres" displayName="B_traitementpoussieres" ref="Q5:Q11" totalsRowShown="0" headerRowDxfId="36" dataDxfId="35">
  <autoFilter ref="Q5:Q11"/>
  <tableColumns count="1">
    <tableColumn id="1" name="Technologie_poussieres" dataDxfId="34"/>
  </tableColumns>
  <tableStyleInfo name="TableStyleMedium2" showFirstColumn="0" showLastColumn="0" showRowStripes="1" showColumnStripes="0"/>
</table>
</file>

<file path=xl/tables/table9.xml><?xml version="1.0" encoding="utf-8"?>
<table xmlns="http://schemas.openxmlformats.org/spreadsheetml/2006/main" id="11" name="B_traitementnox" displayName="B_traitementnox" ref="S5:S10" totalsRowShown="0" headerRowDxfId="33" dataDxfId="32">
  <autoFilter ref="S5:S10"/>
  <tableColumns count="1">
    <tableColumn id="1" name="Technologie_NOX" dataDxfId="31"/>
  </tableColumns>
  <tableStyleInfo name="TableStyleMedium2" showFirstColumn="0" showLastColumn="0" showRowStripes="1" showColumnStripes="0"/>
</table>
</file>

<file path=xl/tables/table10.xml><?xml version="1.0" encoding="utf-8"?>
<table xmlns="http://schemas.openxmlformats.org/spreadsheetml/2006/main" id="12" name="B_typedefluide" displayName="B_typedefluide" ref="U5:U11" totalsRowShown="0" headerRowDxfId="30" dataDxfId="29">
  <autoFilter ref="U5:U11"/>
  <tableColumns count="1">
    <tableColumn id="1" name="Type de fluide" dataDxfId="28"/>
  </tableColumns>
  <tableStyleInfo name="TableStyleMedium2" showFirstColumn="0" showLastColumn="0" showRowStripes="1" showColumnStripes="0"/>
</table>
</file>

<file path=xl/tables/table11.xml><?xml version="1.0" encoding="utf-8"?>
<table xmlns="http://schemas.openxmlformats.org/spreadsheetml/2006/main" id="13" name="B_typedemaitredouvrage" displayName="B_typedemaitredouvrage" ref="W5:W12" totalsRowShown="0" headerRowDxfId="27" dataDxfId="26">
  <autoFilter ref="W5:W12"/>
  <tableColumns count="1">
    <tableColumn id="1" name="Type de maître d'ouvrage" dataDxfId="25"/>
  </tableColumns>
  <tableStyleInfo name="TableStyleMedium2" showFirstColumn="0" showLastColumn="0" showRowStripes="1" showColumnStripes="0"/>
</table>
</file>

<file path=xl/tables/table12.xml><?xml version="1.0" encoding="utf-8"?>
<table xmlns="http://schemas.openxmlformats.org/spreadsheetml/2006/main" id="14" name="B_typedaide" displayName="B_typedaide" ref="Y5:Y10" totalsRowShown="0" headerRowDxfId="24" dataDxfId="23">
  <autoFilter ref="Y5:Y10"/>
  <tableColumns count="1">
    <tableColumn id="1" name="Type d'aide" dataDxfId="22"/>
  </tableColumns>
  <tableStyleInfo name="TableStyleMedium2" showFirstColumn="0" showLastColumn="0" showRowStripes="1" showColumnStripes="0"/>
</table>
</file>

<file path=xl/tables/table13.xml><?xml version="1.0" encoding="utf-8"?>
<table xmlns="http://schemas.openxmlformats.org/spreadsheetml/2006/main" id="15" name="B_typedebatiment" displayName="B_typedebatiment" ref="AA5:AA18" totalsRowShown="0" headerRowDxfId="21" dataDxfId="20">
  <autoFilter ref="AA5:AA18"/>
  <tableColumns count="1">
    <tableColumn id="1" name="Type de bâtiment" dataDxfId="19"/>
  </tableColumns>
  <tableStyleInfo name="TableStyleMedium2" showFirstColumn="0" showLastColumn="0" showRowStripes="1" showColumnStripes="0"/>
</table>
</file>

<file path=xl/tables/table14.xml><?xml version="1.0" encoding="utf-8"?>
<table xmlns="http://schemas.openxmlformats.org/spreadsheetml/2006/main" id="3" name="B_natureducombustibleaide" displayName="B_natureducombustibleaide" ref="AG5:AG14" totalsRowShown="0" headerRowDxfId="18" dataDxfId="17">
  <autoFilter ref="AG5:AG14"/>
  <tableColumns count="1">
    <tableColumn id="1" name="Nature du combustible" dataDxfId="16"/>
  </tableColumns>
  <tableStyleInfo name="TableStyleMedium2" showFirstColumn="0" showLastColumn="0" showRowStripes="1" showColumnStripes="0"/>
</table>
</file>

<file path=xl/tables/table15.xml><?xml version="1.0" encoding="utf-8"?>
<table xmlns="http://schemas.openxmlformats.org/spreadsheetml/2006/main" id="5" name="etapesdossier" displayName="etapesdossier" ref="AI5:AI8" totalsRowShown="0" headerRowDxfId="15" dataDxfId="14">
  <autoFilter ref="AI5:AI8"/>
  <tableColumns count="1">
    <tableColumn id="1" name="Etapes_dossier" dataDxfId="13"/>
  </tableColumns>
  <tableStyleInfo name="TableStyleLight2" showFirstColumn="0" showLastColumn="0" showRowStripes="1" showColumnStripes="0"/>
</table>
</file>

<file path=xl/tables/table16.xml><?xml version="1.0" encoding="utf-8"?>
<table xmlns="http://schemas.openxmlformats.org/spreadsheetml/2006/main" id="16" name="B_fluide" displayName="B_fluide" ref="I5:I10" totalsRowShown="0" headerRowDxfId="12" dataDxfId="11" tableBorderDxfId="10">
  <autoFilter ref="I5:I10"/>
  <tableColumns count="1">
    <tableColumn id="1" name="Fluide" dataDxfId="9"/>
  </tableColumns>
  <tableStyleInfo name="TableStyleMedium2" showFirstColumn="0" showLastColumn="0" showRowStripes="1" showColumnStripes="0"/>
</table>
</file>

<file path=xl/tables/table17.xml><?xml version="1.0" encoding="utf-8"?>
<table xmlns="http://schemas.openxmlformats.org/spreadsheetml/2006/main" id="18" name="B_neufexistant19" displayName="B_neufexistant19" ref="C17:C22" totalsRowShown="0" headerRowDxfId="8" dataDxfId="7">
  <autoFilter ref="C17:C22"/>
  <tableColumns count="1">
    <tableColumn id="1" name="Taille de l'entreprise" dataDxfId="6"/>
  </tableColumns>
  <tableStyleInfo name="TableStyleMedium2" showFirstColumn="0" showLastColumn="0" showRowStripes="1" showColumnStripes="0"/>
</table>
</file>

<file path=xl/tables/table18.xml><?xml version="1.0" encoding="utf-8"?>
<table xmlns="http://schemas.openxmlformats.org/spreadsheetml/2006/main" id="19" name="Tableau19" displayName="Tableau19" ref="AM5:AM15" totalsRowShown="0" dataDxfId="5" tableBorderDxfId="4">
  <autoFilter ref="AM5:AM15"/>
  <tableColumns count="1">
    <tableColumn id="1" name="Cible bénéficiaire" dataDxfId="3"/>
  </tableColumns>
  <tableStyleInfo name="TableStyleMedium2" showFirstColumn="0" showLastColumn="0" showRowStripes="1" showColumnStripes="0"/>
</table>
</file>

<file path=xl/tables/table19.xml><?xml version="1.0" encoding="utf-8"?>
<table xmlns="http://schemas.openxmlformats.org/spreadsheetml/2006/main" id="17" name="B_natureducombustible" displayName="B_natureducombustible" ref="AC5:AC14" totalsRowShown="0" headerRowDxfId="2" dataDxfId="1">
  <autoFilter ref="AC5:AC14"/>
  <tableColumns count="1">
    <tableColumn id="1" name="Nature du combustibl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50" dT="2024-01-26T09:02:54.38" personId="{47D0B158-3935-4929-B9F8-C5AA95300FD8}" id="{4E52EE57-909C-4DD0-98F0-F47A25203C7B}">
    <text>N/A (non applicable) quand installation &lt;500kW hors PPA OU PPA dont plus gros générateur est &lt;70kW. ICPE pour installations &gt;1000kW. Dans les autres cas, calculs selon le tableau dans l'onglet "valeurs de référence".</text>
  </threadedComment>
  <threadedComment ref="F182" dT="2024-01-25T15:30:03.21" personId="{47D0B158-3935-4929-B9F8-C5AA95300FD8}" id="{AF3C4590-7203-412A-8719-87D1D3D714DF}">
    <text>Attention: taux doublé si &gt;12GWh/an</text>
  </threadedComment>
  <threadedComment ref="B286" dT="2024-01-26T14:52:18.20" personId="{47D0B158-3935-4929-B9F8-C5AA95300FD8}" id="{5C087636-C7B8-4DE2-8511-BE0749C68227}">
    <text>Seulement pour la création?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C29" dT="2024-01-03T10:58:02.44" personId="{F1D32F4F-7090-4C95-812B-8F6B7BADD625}" id="{F02AE32D-6DD8-4481-9C34-99BFA490D45E}">
    <text xml:space="preserve">Ligne à modifier lorsqu'on passera par cette fiche uniquement sans VT </text>
  </threadedComment>
  <threadedComment ref="B84" dT="2023-12-28T16:26:22.49" personId="{F1D32F4F-7090-4C95-812B-8F6B7BADD625}" id="{D4926B47-CCD2-4597-8DAD-0A7E1D206CBD}">
    <text>On renvoie vers le VT Excel de plan d'approvisionnement ou la partie plan appro de cette fiche projet est suffisante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enrchoix.idf.ademe.fr/" TargetMode="External"/><Relationship Id="rId7" Type="http://schemas.openxmlformats.org/officeDocument/2006/relationships/vmlDrawing" Target="../drawings/vmlDrawing1.vml"/><Relationship Id="rId2" Type="http://schemas.openxmlformats.org/officeDocument/2006/relationships/hyperlink" Target="https://public.opendatasoft.com/explore/dataset/correspondance-code-insee-code-postal/table/" TargetMode="External"/><Relationship Id="rId1" Type="http://schemas.openxmlformats.org/officeDocument/2006/relationships/hyperlink" Target="https://librairie.ademe.fr/cadic/1206/guide-biomasse-qualite-approvisionnements-010367.pdf"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cartagene.cerema.fr/portal/apps/experiencebuilder/experience/?id=d1e7a5b177d14c83b3be4f3be6af85cf" TargetMode="Externa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2.xml"/><Relationship Id="rId2" Type="http://schemas.openxmlformats.org/officeDocument/2006/relationships/hyperlink" Target="https://ademe.ephoto.fr/album/VWRTYgtl&amp;invite=AEUHQVlFUXQPTQEcVARbSAYxUTIHMVc9WT8MLQBmUTtWPQ" TargetMode="External"/><Relationship Id="rId1" Type="http://schemas.openxmlformats.org/officeDocument/2006/relationships/hyperlink" Target="https://librairie.ademe.fr/energies-renouvelables-reseaux-et-stockage/4768-comptage-production-thermique-chaufferie-biomasse.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librairie.ademe.fr/energies-renouvelables-reseaux-et-stockage/6278-enquete-sur-les-prix-des-combustibles-bois-en-2022.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51"/>
  <sheetViews>
    <sheetView workbookViewId="0"/>
  </sheetViews>
  <sheetFormatPr defaultColWidth="11.44140625" defaultRowHeight="14.4"/>
  <cols>
    <col min="1" max="1" width="11.44140625" style="1"/>
    <col min="2" max="2" width="13.21875" customWidth="1"/>
    <col min="3" max="3" width="9" customWidth="1"/>
    <col min="5" max="5" width="38.77734375" customWidth="1"/>
    <col min="9" max="14" width="11.44140625" style="1"/>
  </cols>
  <sheetData>
    <row r="1" spans="2:8" s="1" customFormat="1"/>
    <row r="2" spans="2:8" s="1" customFormat="1" ht="15" thickBot="1"/>
    <row r="3" spans="2:8" ht="18.600000000000001" thickBot="1">
      <c r="B3" s="759" t="s">
        <v>0</v>
      </c>
      <c r="C3" s="760"/>
      <c r="D3" s="760"/>
      <c r="E3" s="760"/>
      <c r="F3" s="760"/>
      <c r="G3" s="760"/>
      <c r="H3" s="761"/>
    </row>
    <row r="4" spans="2:8" ht="15" thickBot="1">
      <c r="B4" s="128"/>
      <c r="C4" s="9"/>
      <c r="D4" s="9"/>
      <c r="E4" s="9"/>
      <c r="F4" s="9"/>
      <c r="G4" s="9"/>
      <c r="H4" s="129"/>
    </row>
    <row r="5" spans="2:8" ht="16.2" thickBot="1">
      <c r="B5" s="136" t="s">
        <v>1</v>
      </c>
      <c r="C5" s="9"/>
      <c r="D5" s="9"/>
      <c r="E5" s="137" t="s">
        <v>2</v>
      </c>
      <c r="F5" s="9"/>
      <c r="G5" s="9"/>
      <c r="H5" s="129"/>
    </row>
    <row r="6" spans="2:8">
      <c r="B6" s="128"/>
      <c r="C6" s="9"/>
      <c r="D6" s="9"/>
      <c r="E6" s="134" t="s">
        <v>3</v>
      </c>
      <c r="F6" s="9"/>
      <c r="G6" s="9"/>
      <c r="H6" s="129"/>
    </row>
    <row r="7" spans="2:8">
      <c r="B7" s="128"/>
      <c r="C7" s="9"/>
      <c r="D7" s="9"/>
      <c r="E7" s="132" t="s">
        <v>4</v>
      </c>
      <c r="F7" s="9"/>
      <c r="G7" s="9"/>
      <c r="H7" s="129"/>
    </row>
    <row r="8" spans="2:8" ht="15" thickBot="1">
      <c r="B8" s="128"/>
      <c r="C8" s="9"/>
      <c r="D8" s="9"/>
      <c r="E8" s="133" t="s">
        <v>5</v>
      </c>
      <c r="F8" s="9"/>
      <c r="G8" s="9"/>
      <c r="H8" s="129"/>
    </row>
    <row r="9" spans="2:8">
      <c r="B9" s="153" t="s">
        <v>6</v>
      </c>
      <c r="C9" s="9"/>
      <c r="D9" s="9"/>
      <c r="E9" s="9"/>
      <c r="F9" s="9"/>
      <c r="G9" s="9"/>
      <c r="H9" s="129"/>
    </row>
    <row r="10" spans="2:8">
      <c r="B10" s="136" t="s">
        <v>7</v>
      </c>
      <c r="C10" s="9"/>
      <c r="D10" s="9"/>
      <c r="E10" s="9"/>
      <c r="F10" s="9"/>
      <c r="G10" s="9"/>
      <c r="H10" s="129"/>
    </row>
    <row r="11" spans="2:8">
      <c r="B11" s="138" t="s">
        <v>8</v>
      </c>
      <c r="C11" s="138"/>
      <c r="D11" s="9"/>
      <c r="E11" s="9"/>
      <c r="F11" s="9"/>
      <c r="G11" s="9"/>
      <c r="H11" s="129"/>
    </row>
    <row r="12" spans="2:8">
      <c r="B12" s="128"/>
      <c r="C12" s="141" t="s">
        <v>9</v>
      </c>
      <c r="D12" s="9"/>
      <c r="E12" s="9"/>
      <c r="F12" s="9"/>
      <c r="G12" s="9"/>
      <c r="H12" s="129"/>
    </row>
    <row r="13" spans="2:8">
      <c r="B13" s="128"/>
      <c r="C13" s="142" t="s">
        <v>10</v>
      </c>
      <c r="D13" s="9"/>
      <c r="E13" s="9"/>
      <c r="F13" s="9"/>
      <c r="G13" s="9"/>
      <c r="H13" s="129"/>
    </row>
    <row r="14" spans="2:8">
      <c r="B14" s="128"/>
      <c r="C14" s="142" t="s">
        <v>11</v>
      </c>
      <c r="D14" s="9"/>
      <c r="E14" s="9"/>
      <c r="F14" s="9"/>
      <c r="G14" s="9"/>
      <c r="H14" s="129"/>
    </row>
    <row r="15" spans="2:8" ht="15" customHeight="1">
      <c r="B15" s="128"/>
      <c r="C15" s="762" t="s">
        <v>12</v>
      </c>
      <c r="D15" s="763"/>
      <c r="E15" s="763"/>
      <c r="F15" s="763"/>
      <c r="G15" s="763"/>
      <c r="H15" s="129"/>
    </row>
    <row r="16" spans="2:8">
      <c r="B16" s="128"/>
      <c r="C16" s="762"/>
      <c r="D16" s="763"/>
      <c r="E16" s="763"/>
      <c r="F16" s="763"/>
      <c r="G16" s="763"/>
      <c r="H16" s="129"/>
    </row>
    <row r="17" spans="2:8">
      <c r="B17" s="128"/>
      <c r="C17" s="9"/>
      <c r="D17" s="9"/>
      <c r="E17" s="9"/>
      <c r="F17" s="9"/>
      <c r="G17" s="9"/>
      <c r="H17" s="129"/>
    </row>
    <row r="18" spans="2:8">
      <c r="B18" s="372" t="s">
        <v>13</v>
      </c>
      <c r="C18" s="9"/>
      <c r="D18" s="9"/>
      <c r="E18" s="9"/>
      <c r="F18" s="9"/>
      <c r="G18" s="9"/>
      <c r="H18" s="129"/>
    </row>
    <row r="19" spans="2:8" ht="15" thickBot="1">
      <c r="B19" s="135" t="s">
        <v>14</v>
      </c>
      <c r="C19" s="130"/>
      <c r="D19" s="130"/>
      <c r="E19" s="130"/>
      <c r="F19" s="130"/>
      <c r="G19" s="130"/>
      <c r="H19" s="131"/>
    </row>
    <row r="20" spans="2:8" s="1" customFormat="1"/>
    <row r="21" spans="2:8" s="1" customFormat="1"/>
    <row r="22" spans="2:8" s="1" customFormat="1"/>
    <row r="23" spans="2:8" s="1" customFormat="1"/>
    <row r="24" spans="2:8" s="1" customFormat="1"/>
    <row r="25" spans="2:8" s="1" customFormat="1"/>
    <row r="26" spans="2:8" s="1" customFormat="1"/>
    <row r="27" spans="2:8" s="1" customFormat="1"/>
    <row r="28" spans="2:8" s="1" customFormat="1"/>
    <row r="29" spans="2:8" s="1" customFormat="1"/>
    <row r="30" spans="2:8" s="1" customFormat="1"/>
    <row r="31" spans="2:8" s="1" customFormat="1"/>
    <row r="32" spans="2:8"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sheetData>
  <sheetProtection algorithmName="SHA-512" hashValue="5B0WEZgAZgkm2NJio5jSaOZgDEKpheCrPu7zl4Js4MuP1l3YhKuWaKJMQT+5uGdZff4iiDhopn+7fnZZZ7lI7g==" saltValue="wQbOjAoBlk//AYs6Ffyw6g==" spinCount="100000" sheet="1" objects="1" scenarios="1"/>
  <mergeCells count="2">
    <mergeCell ref="B3:H3"/>
    <mergeCell ref="C15:G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rgb="FF00B050"/>
  </sheetPr>
  <dimension ref="A1:CF343"/>
  <sheetViews>
    <sheetView tabSelected="1" topLeftCell="A160" zoomScale="70" zoomScaleNormal="70" zoomScaleSheetLayoutView="70" workbookViewId="0">
      <selection activeCell="B2" sqref="B2:G4"/>
    </sheetView>
  </sheetViews>
  <sheetFormatPr defaultColWidth="11.44140625" defaultRowHeight="14.4"/>
  <cols>
    <col min="1" max="1" width="3.21875" style="1" customWidth="1"/>
    <col min="2" max="2" width="26.21875" style="278" customWidth="1"/>
    <col min="3" max="3" width="16.44140625" style="278" customWidth="1"/>
    <col min="4" max="4" width="17" style="278" customWidth="1"/>
    <col min="5" max="5" width="16.21875" style="278" customWidth="1"/>
    <col min="6" max="6" width="20.21875" style="278" customWidth="1"/>
    <col min="7" max="7" width="24" style="278" customWidth="1"/>
    <col min="8" max="8" width="25.77734375" style="278" customWidth="1"/>
    <col min="9" max="9" width="23.77734375" style="278" customWidth="1"/>
    <col min="10" max="10" width="28.5546875" style="278" customWidth="1"/>
    <col min="11" max="11" width="17" style="278" customWidth="1"/>
    <col min="12" max="12" width="23" customWidth="1"/>
    <col min="13" max="13" width="18.21875" customWidth="1"/>
    <col min="14" max="14" width="11" customWidth="1"/>
    <col min="15" max="15" width="21.77734375" customWidth="1"/>
    <col min="16" max="16" width="16.77734375" customWidth="1"/>
    <col min="17" max="17" width="12.44140625" customWidth="1"/>
    <col min="18" max="18" width="11.77734375" customWidth="1"/>
    <col min="19" max="19" width="11.44140625" style="4"/>
    <col min="20" max="22" width="11.44140625" style="1"/>
    <col min="23" max="24" width="11.44140625" style="694"/>
    <col min="25" max="25" width="12.77734375" style="694" bestFit="1" customWidth="1"/>
    <col min="26" max="28" width="11.44140625" style="694"/>
    <col min="33" max="33" width="11.44140625" style="695"/>
  </cols>
  <sheetData>
    <row r="1" spans="2:84" ht="29.25" customHeight="1">
      <c r="B1" s="407" t="s">
        <v>15</v>
      </c>
      <c r="C1" s="408"/>
      <c r="D1" s="409" t="s">
        <v>16</v>
      </c>
      <c r="E1" s="217"/>
      <c r="F1" s="217"/>
      <c r="G1" s="217"/>
      <c r="H1" s="410"/>
      <c r="I1" s="217"/>
      <c r="J1" s="217"/>
      <c r="K1" s="217"/>
      <c r="L1" s="727" t="s">
        <v>17</v>
      </c>
      <c r="M1" s="411">
        <v>45394</v>
      </c>
      <c r="N1" s="1"/>
      <c r="O1" s="1"/>
      <c r="P1" s="1"/>
      <c r="Q1" s="1"/>
      <c r="R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2:84" ht="15.6">
      <c r="B2" s="837">
        <f>G19</f>
        <v>0</v>
      </c>
      <c r="C2" s="838"/>
      <c r="D2" s="838"/>
      <c r="E2" s="838"/>
      <c r="F2" s="838"/>
      <c r="G2" s="838"/>
      <c r="H2" s="412"/>
      <c r="I2" s="196"/>
      <c r="J2" s="154"/>
      <c r="K2" s="154"/>
      <c r="L2" s="216"/>
      <c r="M2" s="220"/>
      <c r="N2" s="1"/>
      <c r="O2" s="1"/>
      <c r="P2" s="1"/>
      <c r="Q2" s="1"/>
      <c r="R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2:84">
      <c r="B3" s="837"/>
      <c r="C3" s="838"/>
      <c r="D3" s="838"/>
      <c r="E3" s="838"/>
      <c r="F3" s="838"/>
      <c r="G3" s="838"/>
      <c r="H3" s="413"/>
      <c r="I3" s="197"/>
      <c r="J3" s="831" t="s">
        <v>18</v>
      </c>
      <c r="K3" s="832"/>
      <c r="L3" s="832"/>
      <c r="M3" s="833"/>
      <c r="N3" s="1"/>
      <c r="O3" s="1"/>
      <c r="P3" s="1"/>
      <c r="Q3" s="1"/>
      <c r="R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2:84" ht="15" thickBot="1">
      <c r="B4" s="839"/>
      <c r="C4" s="840"/>
      <c r="D4" s="840"/>
      <c r="E4" s="840"/>
      <c r="F4" s="840"/>
      <c r="G4" s="840"/>
      <c r="H4" s="413"/>
      <c r="I4" s="197"/>
      <c r="J4" s="831"/>
      <c r="K4" s="832"/>
      <c r="L4" s="832"/>
      <c r="M4" s="833"/>
      <c r="N4" s="1"/>
      <c r="O4" s="1"/>
      <c r="P4" s="1"/>
      <c r="Q4" s="1"/>
      <c r="R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2:84" ht="15" customHeight="1">
      <c r="B5" s="841">
        <f>F37</f>
        <v>0</v>
      </c>
      <c r="C5" s="842"/>
      <c r="D5" s="842"/>
      <c r="E5" s="842"/>
      <c r="F5" s="842"/>
      <c r="G5" s="842"/>
      <c r="H5" s="413"/>
      <c r="I5" s="197"/>
      <c r="J5" s="831"/>
      <c r="K5" s="832"/>
      <c r="L5" s="832"/>
      <c r="M5" s="833"/>
      <c r="N5" s="1"/>
      <c r="O5" s="1"/>
      <c r="P5" s="1"/>
      <c r="Q5" s="1"/>
      <c r="R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2:84" ht="15" customHeight="1">
      <c r="B6" s="843"/>
      <c r="C6" s="844"/>
      <c r="D6" s="844"/>
      <c r="E6" s="844"/>
      <c r="F6" s="844"/>
      <c r="G6" s="844"/>
      <c r="H6" s="413"/>
      <c r="I6" s="197"/>
      <c r="J6" s="831"/>
      <c r="K6" s="832"/>
      <c r="L6" s="832"/>
      <c r="M6" s="833"/>
      <c r="N6" s="1"/>
      <c r="O6" s="1"/>
      <c r="P6" s="1"/>
      <c r="Q6" s="1"/>
      <c r="R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2:84" ht="15.75" customHeight="1" thickBot="1">
      <c r="B7" s="845"/>
      <c r="C7" s="846"/>
      <c r="D7" s="846"/>
      <c r="E7" s="846" t="b">
        <v>0</v>
      </c>
      <c r="F7" s="846"/>
      <c r="G7" s="846" t="b">
        <v>0</v>
      </c>
      <c r="H7" s="414"/>
      <c r="I7" s="415"/>
      <c r="J7" s="834"/>
      <c r="K7" s="835"/>
      <c r="L7" s="835"/>
      <c r="M7" s="836"/>
      <c r="N7" s="1"/>
      <c r="O7" s="1"/>
      <c r="P7" s="1"/>
      <c r="Q7" s="1"/>
      <c r="R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2:84" ht="18.600000000000001" thickBot="1">
      <c r="B8" s="416"/>
      <c r="C8" s="417"/>
      <c r="D8" s="417"/>
      <c r="E8" s="417"/>
      <c r="F8" s="417"/>
      <c r="G8" s="417" t="s">
        <v>19</v>
      </c>
      <c r="H8" s="418"/>
      <c r="I8" s="418"/>
      <c r="J8" s="419"/>
      <c r="K8" s="419"/>
      <c r="L8" s="419"/>
      <c r="M8" s="420"/>
      <c r="N8" s="1"/>
      <c r="O8" s="1"/>
      <c r="P8" s="1"/>
      <c r="Q8" s="1"/>
      <c r="R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2:84" ht="19.5" customHeight="1" thickBot="1">
      <c r="B9" s="416"/>
      <c r="C9" s="421"/>
      <c r="D9" s="421"/>
      <c r="E9" s="421"/>
      <c r="F9" s="421"/>
      <c r="G9" s="422" t="s">
        <v>20</v>
      </c>
      <c r="H9" s="422"/>
      <c r="I9" s="418"/>
      <c r="J9" s="419"/>
      <c r="K9" s="419"/>
      <c r="L9" s="419"/>
      <c r="M9" s="420"/>
      <c r="N9" s="1"/>
      <c r="O9" s="1"/>
      <c r="P9" s="1"/>
      <c r="Q9" s="1"/>
      <c r="R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2:84" ht="19.5" customHeight="1" thickBot="1">
      <c r="B10" s="416"/>
      <c r="C10" s="423"/>
      <c r="D10" s="423"/>
      <c r="E10" s="423"/>
      <c r="F10" s="422"/>
      <c r="G10" s="422" t="s">
        <v>21</v>
      </c>
      <c r="H10" s="422"/>
      <c r="I10" s="423"/>
      <c r="J10" s="423"/>
      <c r="K10" s="423"/>
      <c r="L10" s="423"/>
      <c r="M10" s="420"/>
      <c r="N10" s="1"/>
      <c r="O10" s="1"/>
      <c r="P10" s="1"/>
      <c r="Q10" s="1"/>
      <c r="R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2:84" ht="18.600000000000001" thickBot="1">
      <c r="B11" s="416"/>
      <c r="C11" s="424"/>
      <c r="D11" s="421"/>
      <c r="E11" s="421"/>
      <c r="F11" s="422"/>
      <c r="G11" s="422" t="s">
        <v>22</v>
      </c>
      <c r="H11" s="422"/>
      <c r="I11" s="418"/>
      <c r="J11" s="419"/>
      <c r="K11" s="419"/>
      <c r="L11" s="419"/>
      <c r="M11" s="420"/>
      <c r="N11" s="1"/>
      <c r="O11" s="1"/>
      <c r="P11" s="1"/>
      <c r="Q11" s="1"/>
      <c r="R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2:84" ht="18.600000000000001" thickBot="1">
      <c r="B12" s="416"/>
      <c r="C12" s="421"/>
      <c r="D12" s="421"/>
      <c r="E12" s="421"/>
      <c r="F12" s="422"/>
      <c r="G12" s="422" t="s">
        <v>23</v>
      </c>
      <c r="H12" s="422"/>
      <c r="I12" s="418"/>
      <c r="J12" s="419"/>
      <c r="K12" s="419"/>
      <c r="L12" s="419"/>
      <c r="M12" s="420"/>
      <c r="N12" s="1"/>
      <c r="O12" s="1"/>
      <c r="P12" s="1"/>
      <c r="Q12" s="1"/>
      <c r="R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2:84" ht="18.600000000000001" thickBot="1">
      <c r="B13" s="416"/>
      <c r="C13" s="421"/>
      <c r="D13" s="421"/>
      <c r="E13" s="421"/>
      <c r="F13" s="422"/>
      <c r="G13" s="422" t="s">
        <v>24</v>
      </c>
      <c r="H13" s="422"/>
      <c r="I13" s="418"/>
      <c r="J13" s="419"/>
      <c r="K13" s="419"/>
      <c r="L13" s="419"/>
      <c r="M13" s="420"/>
      <c r="N13" s="1"/>
      <c r="O13" s="1"/>
      <c r="P13" s="1"/>
      <c r="Q13" s="1"/>
      <c r="R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2:84" ht="18.600000000000001" thickBot="1">
      <c r="B14" s="416"/>
      <c r="C14" s="421"/>
      <c r="D14" s="421"/>
      <c r="E14" s="421"/>
      <c r="F14" s="422"/>
      <c r="G14" s="422" t="s">
        <v>25</v>
      </c>
      <c r="H14" s="422"/>
      <c r="I14" s="418"/>
      <c r="J14" s="419"/>
      <c r="K14" s="419"/>
      <c r="L14" s="419"/>
      <c r="M14" s="420"/>
      <c r="N14" s="1"/>
      <c r="O14" s="1"/>
      <c r="P14" s="1"/>
      <c r="Q14" s="1"/>
      <c r="R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2:84" s="1" customFormat="1">
      <c r="B15" s="196"/>
      <c r="C15" s="196"/>
      <c r="D15" s="196"/>
      <c r="E15" s="196"/>
      <c r="F15" s="196"/>
      <c r="G15" s="196"/>
      <c r="H15" s="196"/>
      <c r="I15" s="196"/>
      <c r="J15" s="196"/>
      <c r="K15" s="196"/>
      <c r="S15" s="4"/>
      <c r="AG15" s="425"/>
    </row>
    <row r="16" spans="2:84" s="1" customFormat="1">
      <c r="B16" s="196"/>
      <c r="C16" s="196"/>
      <c r="D16" s="196"/>
      <c r="E16" s="196"/>
      <c r="F16" s="196"/>
      <c r="G16" s="196"/>
      <c r="H16" s="196"/>
      <c r="I16" s="196"/>
      <c r="J16" s="196"/>
      <c r="K16" s="196"/>
      <c r="S16" s="4"/>
      <c r="AG16" s="425"/>
    </row>
    <row r="17" spans="2:84" s="1" customFormat="1" ht="15" thickBot="1">
      <c r="B17" s="196"/>
      <c r="C17" s="196"/>
      <c r="D17" s="196"/>
      <c r="E17" s="196"/>
      <c r="F17" s="196"/>
      <c r="G17" s="196"/>
      <c r="H17" s="196"/>
      <c r="I17" s="196"/>
      <c r="J17" s="196"/>
      <c r="K17" s="196"/>
      <c r="S17" s="4"/>
      <c r="AG17" s="425"/>
    </row>
    <row r="18" spans="2:84" ht="18.600000000000001" thickBot="1">
      <c r="B18" s="881" t="s">
        <v>20</v>
      </c>
      <c r="C18" s="882"/>
      <c r="D18" s="882"/>
      <c r="E18" s="882"/>
      <c r="F18" s="882"/>
      <c r="G18" s="882"/>
      <c r="H18" s="882"/>
      <c r="I18" s="882"/>
      <c r="J18" s="882"/>
      <c r="K18" s="882"/>
      <c r="L18" s="882"/>
      <c r="M18" s="883"/>
      <c r="N18" s="426"/>
      <c r="O18" s="426"/>
      <c r="P18" s="426"/>
      <c r="Q18" s="426"/>
      <c r="R18" s="426"/>
      <c r="W18" s="1"/>
      <c r="X18" s="1"/>
      <c r="Y18" s="1"/>
      <c r="Z18" s="1"/>
      <c r="AA18" s="1"/>
      <c r="AB18" s="1"/>
      <c r="AC18" s="1"/>
      <c r="AD18" s="1"/>
      <c r="AE18" s="1"/>
      <c r="AF18" s="1"/>
      <c r="AG18" s="1"/>
      <c r="AH18" s="1"/>
      <c r="AI18" s="1"/>
      <c r="AJ18" s="1"/>
      <c r="AK18" s="1"/>
      <c r="AL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2:84" ht="15.6">
      <c r="B19" s="884" t="s">
        <v>26</v>
      </c>
      <c r="C19" s="851"/>
      <c r="D19" s="851"/>
      <c r="E19" s="851"/>
      <c r="F19" s="851"/>
      <c r="G19" s="901"/>
      <c r="H19" s="902"/>
      <c r="I19" s="902"/>
      <c r="J19" s="902"/>
      <c r="K19" s="902"/>
      <c r="L19" s="902"/>
      <c r="M19" s="903"/>
      <c r="N19" s="427"/>
      <c r="O19" s="428"/>
      <c r="P19" s="428"/>
      <c r="Q19" s="428"/>
      <c r="R19" s="428"/>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2:84" ht="15.6">
      <c r="B20" s="867" t="s">
        <v>27</v>
      </c>
      <c r="C20" s="868"/>
      <c r="D20" s="868"/>
      <c r="E20" s="868"/>
      <c r="F20" s="847"/>
      <c r="G20" s="305"/>
      <c r="H20" s="869" t="s">
        <v>28</v>
      </c>
      <c r="I20" s="870"/>
      <c r="J20" s="870"/>
      <c r="K20" s="870"/>
      <c r="L20" s="870"/>
      <c r="M20" s="871"/>
      <c r="N20" s="427"/>
      <c r="O20" s="428"/>
      <c r="P20" s="428"/>
      <c r="Q20" s="428"/>
      <c r="R20" s="428"/>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2:84" ht="15.6">
      <c r="B21" s="429"/>
      <c r="C21" s="430"/>
      <c r="D21" s="430"/>
      <c r="E21" s="430"/>
      <c r="F21" s="431" t="s">
        <v>29</v>
      </c>
      <c r="G21" s="305"/>
      <c r="H21" s="367"/>
      <c r="I21" s="368"/>
      <c r="J21" s="368"/>
      <c r="K21" s="368"/>
      <c r="L21" s="368"/>
      <c r="M21" s="369"/>
      <c r="N21" s="427"/>
      <c r="O21" s="428"/>
      <c r="P21" s="428"/>
      <c r="Q21" s="428"/>
      <c r="R21" s="428"/>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2:84" ht="15.6">
      <c r="B22" s="429"/>
      <c r="C22" s="430"/>
      <c r="D22" s="430"/>
      <c r="E22" s="430"/>
      <c r="F22" s="432" t="s">
        <v>30</v>
      </c>
      <c r="G22" s="305"/>
      <c r="H22" s="367"/>
      <c r="I22" s="368"/>
      <c r="J22" s="368"/>
      <c r="K22" s="368"/>
      <c r="L22" s="368"/>
      <c r="M22" s="369"/>
      <c r="N22" s="427"/>
      <c r="O22" s="428"/>
      <c r="P22" s="428"/>
      <c r="Q22" s="428"/>
      <c r="R22" s="428"/>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2:84">
      <c r="B23" s="860" t="s">
        <v>31</v>
      </c>
      <c r="C23" s="848"/>
      <c r="D23" s="848"/>
      <c r="E23" s="848"/>
      <c r="F23" s="848"/>
      <c r="G23" s="753"/>
      <c r="H23" s="869" t="s">
        <v>32</v>
      </c>
      <c r="I23" s="870"/>
      <c r="J23" s="870"/>
      <c r="K23" s="870"/>
      <c r="L23" s="870"/>
      <c r="M23" s="871"/>
      <c r="N23" s="433"/>
      <c r="O23" s="433"/>
      <c r="P23" s="433"/>
      <c r="Q23" s="433"/>
      <c r="R23" s="433"/>
      <c r="S23" s="434"/>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2:84">
      <c r="B24" s="867" t="s">
        <v>33</v>
      </c>
      <c r="C24" s="868"/>
      <c r="D24" s="868"/>
      <c r="E24" s="868"/>
      <c r="F24" s="847"/>
      <c r="G24" s="354"/>
      <c r="H24" s="869" t="s">
        <v>28</v>
      </c>
      <c r="I24" s="870"/>
      <c r="J24" s="870"/>
      <c r="K24" s="870"/>
      <c r="L24" s="870"/>
      <c r="M24" s="871"/>
      <c r="N24" s="433"/>
      <c r="O24" s="433"/>
      <c r="P24" s="433"/>
      <c r="Q24" s="433"/>
      <c r="R24" s="433"/>
      <c r="S24" s="434"/>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2:84">
      <c r="B25" s="860" t="s">
        <v>34</v>
      </c>
      <c r="C25" s="848"/>
      <c r="D25" s="848"/>
      <c r="E25" s="848"/>
      <c r="F25" s="848"/>
      <c r="G25" s="753"/>
      <c r="H25" s="869" t="s">
        <v>28</v>
      </c>
      <c r="I25" s="870"/>
      <c r="J25" s="870"/>
      <c r="K25" s="870"/>
      <c r="L25" s="870"/>
      <c r="M25" s="871"/>
      <c r="N25" s="433"/>
      <c r="O25" s="433"/>
      <c r="P25" s="433"/>
      <c r="Q25" s="433"/>
      <c r="R25" s="433"/>
      <c r="S25" s="434"/>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2:84">
      <c r="B26" s="860" t="s">
        <v>35</v>
      </c>
      <c r="C26" s="848"/>
      <c r="D26" s="848"/>
      <c r="E26" s="848"/>
      <c r="F26" s="848"/>
      <c r="G26" s="754"/>
      <c r="H26" s="947" t="str">
        <f>IF(G26&lt;=G23,"","Les travaux ont commencés avant la date de dépôt du dossier: le projet n'est plus finançable")</f>
        <v/>
      </c>
      <c r="I26" s="948"/>
      <c r="J26" s="948"/>
      <c r="K26" s="948"/>
      <c r="L26" s="948"/>
      <c r="M26" s="949"/>
      <c r="N26" s="433"/>
      <c r="O26" s="433"/>
      <c r="P26" s="433"/>
      <c r="Q26" s="433"/>
      <c r="R26" s="433"/>
      <c r="S26" s="434"/>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2:84">
      <c r="B27" s="860" t="s">
        <v>36</v>
      </c>
      <c r="C27" s="848"/>
      <c r="D27" s="848"/>
      <c r="E27" s="848"/>
      <c r="F27" s="848"/>
      <c r="G27" s="155" t="s">
        <v>37</v>
      </c>
      <c r="H27" s="869" t="s">
        <v>28</v>
      </c>
      <c r="I27" s="870"/>
      <c r="J27" s="885"/>
      <c r="K27" s="870"/>
      <c r="L27" s="870"/>
      <c r="M27" s="871"/>
      <c r="N27" s="433"/>
      <c r="O27" s="433"/>
      <c r="P27" s="433"/>
      <c r="Q27" s="433"/>
      <c r="R27" s="433"/>
      <c r="S27" s="434"/>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2:84">
      <c r="B28" s="860" t="s">
        <v>38</v>
      </c>
      <c r="C28" s="848"/>
      <c r="D28" s="848"/>
      <c r="E28" s="848"/>
      <c r="F28" s="848" t="s">
        <v>38</v>
      </c>
      <c r="G28" s="156"/>
      <c r="H28" s="904" t="str">
        <f>IF(G28="oui","Petite, moyenne ou grande entreprise ?","")</f>
        <v/>
      </c>
      <c r="I28" s="905"/>
      <c r="J28" s="356"/>
      <c r="K28" s="870" t="s">
        <v>28</v>
      </c>
      <c r="L28" s="870"/>
      <c r="M28" s="871"/>
      <c r="N28" s="435"/>
      <c r="O28" s="435"/>
      <c r="P28" s="435"/>
      <c r="Q28" s="433"/>
      <c r="R28" s="433"/>
      <c r="S28" s="434"/>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2:84">
      <c r="B29" s="860" t="s">
        <v>41</v>
      </c>
      <c r="C29" s="848"/>
      <c r="D29" s="848"/>
      <c r="E29" s="848"/>
      <c r="F29" s="848"/>
      <c r="G29" s="155"/>
      <c r="H29" s="869" t="s">
        <v>28</v>
      </c>
      <c r="I29" s="870"/>
      <c r="J29" s="886"/>
      <c r="K29" s="870"/>
      <c r="L29" s="870"/>
      <c r="M29" s="871"/>
      <c r="N29" s="433"/>
      <c r="O29" s="433"/>
      <c r="P29" s="433"/>
      <c r="Q29" s="433"/>
      <c r="R29" s="433"/>
      <c r="S29" s="434"/>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2:84">
      <c r="B30" s="860" t="s">
        <v>42</v>
      </c>
      <c r="C30" s="848"/>
      <c r="D30" s="848"/>
      <c r="E30" s="848"/>
      <c r="F30" s="848"/>
      <c r="G30" s="155"/>
      <c r="H30" s="869" t="s">
        <v>28</v>
      </c>
      <c r="I30" s="870"/>
      <c r="J30" s="870"/>
      <c r="K30" s="870"/>
      <c r="L30" s="870"/>
      <c r="M30" s="871"/>
      <c r="N30" s="433"/>
      <c r="O30" s="433"/>
      <c r="P30" s="433"/>
      <c r="Q30" s="433"/>
      <c r="R30" s="433"/>
      <c r="S30" s="434"/>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2:84">
      <c r="B31" s="1031" t="s">
        <v>43</v>
      </c>
      <c r="C31" s="1032"/>
      <c r="D31" s="1032"/>
      <c r="E31" s="1032"/>
      <c r="F31" s="1033"/>
      <c r="G31" s="156"/>
      <c r="H31" s="436" t="str">
        <f>IF(G31="oui","Merci de fournir la monotone dans l'espace schéma complémentaires","")</f>
        <v/>
      </c>
      <c r="I31" s="437"/>
      <c r="J31" s="437"/>
      <c r="K31" s="437"/>
      <c r="L31" s="437"/>
      <c r="M31" s="438"/>
      <c r="N31" s="433"/>
      <c r="O31" s="433"/>
      <c r="P31" s="433"/>
      <c r="Q31" s="433"/>
      <c r="R31" s="433"/>
      <c r="S31" s="434"/>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2:84">
      <c r="B32" s="1041" t="s">
        <v>44</v>
      </c>
      <c r="C32" s="1042"/>
      <c r="D32" s="1042"/>
      <c r="E32" s="1042"/>
      <c r="F32" s="1043"/>
      <c r="G32" s="1028"/>
      <c r="H32" s="1028"/>
      <c r="I32" s="1028"/>
      <c r="J32" s="1028"/>
      <c r="K32" s="1028"/>
      <c r="L32" s="1028"/>
      <c r="M32" s="1029"/>
      <c r="N32" s="439"/>
      <c r="O32" s="439"/>
      <c r="P32" s="439"/>
      <c r="Q32" s="439"/>
      <c r="R32" s="439"/>
      <c r="S32" s="434"/>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2:84" ht="15" thickBot="1">
      <c r="B33" s="1044"/>
      <c r="C33" s="1045"/>
      <c r="D33" s="1045"/>
      <c r="E33" s="1045"/>
      <c r="F33" s="1046"/>
      <c r="G33" s="1028"/>
      <c r="H33" s="1028"/>
      <c r="I33" s="1028"/>
      <c r="J33" s="1028"/>
      <c r="K33" s="1028"/>
      <c r="L33" s="1028"/>
      <c r="M33" s="1029"/>
      <c r="N33" s="439"/>
      <c r="O33" s="439"/>
      <c r="P33" s="439"/>
      <c r="Q33" s="439"/>
      <c r="R33" s="439"/>
      <c r="S33" s="434"/>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2:84" ht="18" thickBot="1">
      <c r="B34" s="1022" t="s">
        <v>45</v>
      </c>
      <c r="C34" s="788"/>
      <c r="D34" s="788"/>
      <c r="E34" s="440" t="s">
        <v>46</v>
      </c>
      <c r="F34" s="872" t="s">
        <v>47</v>
      </c>
      <c r="G34" s="1030"/>
      <c r="H34" s="872" t="s">
        <v>48</v>
      </c>
      <c r="I34" s="873"/>
      <c r="J34" s="874"/>
      <c r="K34" s="441" t="s">
        <v>49</v>
      </c>
      <c r="L34" s="441" t="s">
        <v>50</v>
      </c>
      <c r="M34" s="442" t="s">
        <v>51</v>
      </c>
      <c r="N34" s="443"/>
      <c r="O34" s="443"/>
      <c r="P34" s="443"/>
      <c r="Q34" s="443"/>
      <c r="R34" s="443"/>
      <c r="S34" s="434"/>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2:84" ht="15.6">
      <c r="B35" s="1024" t="s">
        <v>52</v>
      </c>
      <c r="C35" s="1018"/>
      <c r="D35" s="1018"/>
      <c r="E35" s="355"/>
      <c r="F35" s="1025"/>
      <c r="G35" s="1025"/>
      <c r="H35" s="878"/>
      <c r="I35" s="879"/>
      <c r="J35" s="880"/>
      <c r="K35" s="306"/>
      <c r="L35" s="157"/>
      <c r="M35" s="204"/>
      <c r="N35" s="1"/>
      <c r="O35" s="1"/>
      <c r="P35" s="1"/>
      <c r="Q35" s="1"/>
      <c r="R35" s="1"/>
      <c r="S35" s="444"/>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2:84" ht="15.6">
      <c r="B36" s="860" t="s">
        <v>53</v>
      </c>
      <c r="C36" s="848"/>
      <c r="D36" s="848"/>
      <c r="E36" s="355"/>
      <c r="F36" s="895"/>
      <c r="G36" s="895"/>
      <c r="H36" s="896"/>
      <c r="I36" s="897"/>
      <c r="J36" s="898"/>
      <c r="K36" s="307"/>
      <c r="L36" s="158"/>
      <c r="M36" s="205"/>
      <c r="N36" s="1"/>
      <c r="O36" s="1"/>
      <c r="P36" s="1"/>
      <c r="Q36" s="1"/>
      <c r="R36" s="1"/>
      <c r="S36" s="434"/>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2:84" ht="15.6">
      <c r="B37" s="860" t="s">
        <v>54</v>
      </c>
      <c r="C37" s="848"/>
      <c r="D37" s="848"/>
      <c r="E37" s="355"/>
      <c r="F37" s="895"/>
      <c r="G37" s="895"/>
      <c r="H37" s="896"/>
      <c r="I37" s="897"/>
      <c r="J37" s="898"/>
      <c r="K37" s="307"/>
      <c r="L37" s="158"/>
      <c r="M37" s="205"/>
      <c r="N37" s="1"/>
      <c r="O37" s="1"/>
      <c r="P37" s="1"/>
      <c r="Q37" s="1"/>
      <c r="R37" s="1"/>
      <c r="S37" s="434"/>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2:84">
      <c r="B38" s="860" t="s">
        <v>55</v>
      </c>
      <c r="C38" s="848"/>
      <c r="D38" s="848"/>
      <c r="E38" s="159"/>
      <c r="F38" s="895"/>
      <c r="G38" s="895"/>
      <c r="H38" s="896"/>
      <c r="I38" s="897"/>
      <c r="J38" s="898"/>
      <c r="K38" s="307"/>
      <c r="L38" s="158"/>
      <c r="M38" s="205"/>
      <c r="N38" s="1"/>
      <c r="O38" s="1"/>
      <c r="P38" s="1"/>
      <c r="Q38" s="1"/>
      <c r="R38" s="1"/>
      <c r="S38" s="434"/>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2:84">
      <c r="B39" s="860" t="s">
        <v>56</v>
      </c>
      <c r="C39" s="848"/>
      <c r="D39" s="848"/>
      <c r="E39" s="159"/>
      <c r="F39" s="895"/>
      <c r="G39" s="895"/>
      <c r="H39" s="896"/>
      <c r="I39" s="897"/>
      <c r="J39" s="898"/>
      <c r="K39" s="307"/>
      <c r="L39" s="158"/>
      <c r="M39" s="205"/>
      <c r="N39" s="1"/>
      <c r="O39" s="1"/>
      <c r="P39" s="1"/>
      <c r="Q39" s="1"/>
      <c r="R39" s="1"/>
      <c r="S39" s="434"/>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2:84">
      <c r="B40" s="867" t="s">
        <v>57</v>
      </c>
      <c r="C40" s="868"/>
      <c r="D40" s="847"/>
      <c r="E40" s="160"/>
      <c r="F40" s="906"/>
      <c r="G40" s="907"/>
      <c r="H40" s="896"/>
      <c r="I40" s="897"/>
      <c r="J40" s="898"/>
      <c r="K40" s="309"/>
      <c r="L40" s="161"/>
      <c r="M40" s="206"/>
      <c r="N40" s="1"/>
      <c r="O40" s="1"/>
      <c r="P40" s="1"/>
      <c r="Q40" s="1"/>
      <c r="R40" s="1"/>
      <c r="S40" s="434"/>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2:84" ht="15" thickBot="1">
      <c r="B41" s="892" t="s">
        <v>58</v>
      </c>
      <c r="C41" s="893"/>
      <c r="D41" s="893"/>
      <c r="E41" s="160"/>
      <c r="F41" s="894"/>
      <c r="G41" s="894"/>
      <c r="H41" s="896"/>
      <c r="I41" s="897"/>
      <c r="J41" s="898"/>
      <c r="K41" s="308"/>
      <c r="L41" s="161"/>
      <c r="M41" s="207"/>
      <c r="N41" s="1"/>
      <c r="O41" s="1"/>
      <c r="P41" s="1"/>
      <c r="Q41" s="1"/>
      <c r="R41" s="1"/>
      <c r="S41" s="434"/>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2:84" ht="18" thickBot="1">
      <c r="B42" s="953" t="s">
        <v>59</v>
      </c>
      <c r="C42" s="954"/>
      <c r="D42" s="954"/>
      <c r="E42" s="954"/>
      <c r="F42" s="954"/>
      <c r="G42" s="954"/>
      <c r="H42" s="954"/>
      <c r="I42" s="954"/>
      <c r="J42" s="954"/>
      <c r="K42" s="954"/>
      <c r="L42" s="954"/>
      <c r="M42" s="955"/>
      <c r="N42" s="443"/>
      <c r="O42" s="443"/>
      <c r="P42" s="443"/>
      <c r="Q42" s="443"/>
      <c r="R42" s="443"/>
      <c r="S42" s="434"/>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2:84">
      <c r="B43" s="446"/>
      <c r="C43" s="888"/>
      <c r="D43" s="888"/>
      <c r="E43" s="888"/>
      <c r="F43" s="888"/>
      <c r="G43" s="888"/>
      <c r="H43" s="888"/>
      <c r="I43" s="888"/>
      <c r="J43" s="888"/>
      <c r="K43" s="888"/>
      <c r="L43" s="888"/>
      <c r="M43" s="447"/>
      <c r="N43" s="274"/>
      <c r="O43" s="274"/>
      <c r="P43" s="274"/>
      <c r="Q43" s="274"/>
      <c r="R43" s="274"/>
      <c r="S43" s="434"/>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2:84" ht="15" thickBot="1">
      <c r="B44" s="446"/>
      <c r="C44" s="888"/>
      <c r="D44" s="888"/>
      <c r="E44" s="888"/>
      <c r="F44" s="888"/>
      <c r="G44" s="888"/>
      <c r="H44" s="888"/>
      <c r="I44" s="888"/>
      <c r="J44" s="888"/>
      <c r="K44" s="888"/>
      <c r="L44" s="888"/>
      <c r="M44" s="448"/>
      <c r="N44" s="274"/>
      <c r="O44" s="274"/>
      <c r="P44" s="274"/>
      <c r="Q44" s="274"/>
      <c r="R44" s="274"/>
      <c r="S44" s="434"/>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2:84" ht="18" thickBot="1">
      <c r="B45" s="953" t="s">
        <v>60</v>
      </c>
      <c r="C45" s="954"/>
      <c r="D45" s="954"/>
      <c r="E45" s="954"/>
      <c r="F45" s="954"/>
      <c r="G45" s="954"/>
      <c r="H45" s="954"/>
      <c r="I45" s="954"/>
      <c r="J45" s="954"/>
      <c r="K45" s="954"/>
      <c r="L45" s="954"/>
      <c r="M45" s="955"/>
      <c r="N45" s="443"/>
      <c r="O45" s="443"/>
      <c r="P45" s="443"/>
      <c r="Q45" s="443"/>
      <c r="R45" s="443"/>
      <c r="S45" s="434"/>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2:84" ht="15" customHeight="1">
      <c r="B46" s="449"/>
      <c r="C46" s="888"/>
      <c r="D46" s="888"/>
      <c r="E46" s="888"/>
      <c r="F46" s="888"/>
      <c r="G46" s="888"/>
      <c r="H46" s="888"/>
      <c r="I46" s="888"/>
      <c r="J46" s="888"/>
      <c r="K46" s="888"/>
      <c r="L46" s="888"/>
      <c r="M46" s="450"/>
      <c r="N46" s="451"/>
      <c r="O46" s="451"/>
      <c r="P46" s="451"/>
      <c r="Q46" s="451"/>
      <c r="R46" s="451"/>
      <c r="S46" s="434"/>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2:84">
      <c r="B47" s="452"/>
      <c r="C47" s="888"/>
      <c r="D47" s="888"/>
      <c r="E47" s="888"/>
      <c r="F47" s="888"/>
      <c r="G47" s="888"/>
      <c r="H47" s="888"/>
      <c r="I47" s="888"/>
      <c r="J47" s="888"/>
      <c r="K47" s="888"/>
      <c r="L47" s="888"/>
      <c r="M47" s="453"/>
      <c r="N47" s="451"/>
      <c r="O47" s="451"/>
      <c r="P47" s="451"/>
      <c r="Q47" s="451"/>
      <c r="R47" s="451"/>
      <c r="S47" s="434"/>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2:84">
      <c r="B48" s="452"/>
      <c r="C48" s="888"/>
      <c r="D48" s="888"/>
      <c r="E48" s="888"/>
      <c r="F48" s="888"/>
      <c r="G48" s="888"/>
      <c r="H48" s="888"/>
      <c r="I48" s="888"/>
      <c r="J48" s="888"/>
      <c r="K48" s="888"/>
      <c r="L48" s="888"/>
      <c r="M48" s="453"/>
      <c r="N48" s="451"/>
      <c r="O48" s="451"/>
      <c r="P48" s="451"/>
      <c r="Q48" s="451"/>
      <c r="R48" s="451"/>
      <c r="S48" s="434"/>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c r="B49" s="452"/>
      <c r="C49" s="888"/>
      <c r="D49" s="888"/>
      <c r="E49" s="888"/>
      <c r="F49" s="888"/>
      <c r="G49" s="888"/>
      <c r="H49" s="888"/>
      <c r="I49" s="888"/>
      <c r="J49" s="888"/>
      <c r="K49" s="888"/>
      <c r="L49" s="888"/>
      <c r="M49" s="453"/>
      <c r="N49" s="451"/>
      <c r="O49" s="451"/>
      <c r="P49" s="451"/>
      <c r="Q49" s="451"/>
      <c r="R49" s="451"/>
      <c r="S49" s="434"/>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thickBot="1">
      <c r="B50" s="452"/>
      <c r="C50" s="888"/>
      <c r="D50" s="888"/>
      <c r="E50" s="888"/>
      <c r="F50" s="888"/>
      <c r="G50" s="888"/>
      <c r="H50" s="888"/>
      <c r="I50" s="888"/>
      <c r="J50" s="888"/>
      <c r="K50" s="888"/>
      <c r="L50" s="888"/>
      <c r="M50" s="454"/>
      <c r="N50" s="451"/>
      <c r="O50" s="451"/>
      <c r="P50" s="451"/>
      <c r="Q50" s="451"/>
      <c r="R50" s="451"/>
      <c r="S50" s="434"/>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8" thickBot="1">
      <c r="B51" s="853" t="s">
        <v>61</v>
      </c>
      <c r="C51" s="854"/>
      <c r="D51" s="854"/>
      <c r="E51" s="854"/>
      <c r="F51" s="854"/>
      <c r="G51" s="854"/>
      <c r="H51" s="854"/>
      <c r="I51" s="854"/>
      <c r="J51" s="854"/>
      <c r="K51" s="854"/>
      <c r="L51" s="854"/>
      <c r="M51" s="887"/>
      <c r="N51" s="455"/>
      <c r="O51" s="455"/>
      <c r="P51" s="455"/>
      <c r="Q51" s="455"/>
      <c r="R51" s="455"/>
      <c r="S51" s="434"/>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c r="B52" s="449"/>
      <c r="C52" s="888"/>
      <c r="D52" s="888"/>
      <c r="E52" s="888"/>
      <c r="F52" s="888"/>
      <c r="G52" s="889"/>
      <c r="H52" s="899" t="s">
        <v>62</v>
      </c>
      <c r="I52" s="900"/>
      <c r="J52" s="451"/>
      <c r="K52" s="451"/>
      <c r="L52" s="451"/>
      <c r="M52" s="450"/>
      <c r="N52" s="451"/>
      <c r="O52" s="451"/>
      <c r="P52" s="451"/>
      <c r="Q52" s="451"/>
      <c r="R52" s="451"/>
      <c r="S52" s="434"/>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c r="B53" s="452"/>
      <c r="C53" s="888"/>
      <c r="D53" s="888"/>
      <c r="E53" s="888"/>
      <c r="F53" s="888"/>
      <c r="G53" s="889"/>
      <c r="H53" s="1011"/>
      <c r="I53" s="935"/>
      <c r="J53" s="935"/>
      <c r="K53" s="935"/>
      <c r="L53" s="935"/>
      <c r="M53" s="453"/>
      <c r="N53" s="451"/>
      <c r="O53" s="451"/>
      <c r="P53" s="451"/>
      <c r="Q53" s="451"/>
      <c r="R53" s="451"/>
      <c r="S53" s="434"/>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c r="B54" s="452"/>
      <c r="C54" s="888"/>
      <c r="D54" s="888"/>
      <c r="E54" s="888"/>
      <c r="F54" s="888"/>
      <c r="G54" s="889"/>
      <c r="H54" s="1011"/>
      <c r="I54" s="935"/>
      <c r="J54" s="935"/>
      <c r="K54" s="935"/>
      <c r="L54" s="935"/>
      <c r="M54" s="453"/>
      <c r="N54" s="451"/>
      <c r="O54" s="451"/>
      <c r="P54" s="451"/>
      <c r="Q54" s="451"/>
      <c r="R54" s="451"/>
      <c r="S54" s="434"/>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c r="B55" s="452"/>
      <c r="C55" s="888"/>
      <c r="D55" s="888"/>
      <c r="E55" s="888"/>
      <c r="F55" s="888"/>
      <c r="G55" s="889"/>
      <c r="H55" s="1011"/>
      <c r="I55" s="935"/>
      <c r="J55" s="935"/>
      <c r="K55" s="935"/>
      <c r="L55" s="935"/>
      <c r="M55" s="453"/>
      <c r="N55" s="451"/>
      <c r="O55" s="451"/>
      <c r="P55" s="451"/>
      <c r="Q55" s="451"/>
      <c r="R55" s="45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c r="B56" s="452"/>
      <c r="C56" s="888"/>
      <c r="D56" s="888"/>
      <c r="E56" s="888"/>
      <c r="F56" s="888"/>
      <c r="G56" s="889"/>
      <c r="H56" s="1011"/>
      <c r="I56" s="935"/>
      <c r="J56" s="935"/>
      <c r="K56" s="935"/>
      <c r="L56" s="935"/>
      <c r="M56" s="453"/>
      <c r="N56" s="451"/>
      <c r="O56" s="451"/>
      <c r="P56" s="451"/>
      <c r="Q56" s="451"/>
      <c r="R56" s="45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c r="B57" s="452"/>
      <c r="C57" s="888"/>
      <c r="D57" s="888"/>
      <c r="E57" s="888"/>
      <c r="F57" s="888"/>
      <c r="G57" s="889"/>
      <c r="H57" s="1011"/>
      <c r="I57" s="935"/>
      <c r="J57" s="935"/>
      <c r="K57" s="935"/>
      <c r="L57" s="935"/>
      <c r="M57" s="453"/>
      <c r="N57" s="451"/>
      <c r="O57" s="451"/>
      <c r="P57" s="451"/>
      <c r="Q57" s="451"/>
      <c r="R57" s="45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c r="B58" s="452"/>
      <c r="C58" s="888"/>
      <c r="D58" s="888"/>
      <c r="E58" s="888"/>
      <c r="F58" s="888"/>
      <c r="G58" s="889"/>
      <c r="H58" s="1011"/>
      <c r="I58" s="935"/>
      <c r="J58" s="935"/>
      <c r="K58" s="935"/>
      <c r="L58" s="935"/>
      <c r="M58" s="453"/>
      <c r="N58" s="451"/>
      <c r="O58" s="451"/>
      <c r="P58" s="451"/>
      <c r="Q58" s="451"/>
      <c r="R58" s="45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c r="B59" s="452"/>
      <c r="C59" s="888"/>
      <c r="D59" s="888"/>
      <c r="E59" s="888"/>
      <c r="F59" s="888"/>
      <c r="G59" s="889"/>
      <c r="H59" s="1011"/>
      <c r="I59" s="935"/>
      <c r="J59" s="935"/>
      <c r="K59" s="935"/>
      <c r="L59" s="935"/>
      <c r="M59" s="453"/>
      <c r="N59" s="451"/>
      <c r="O59" s="451"/>
      <c r="P59" s="451"/>
      <c r="Q59" s="451"/>
      <c r="R59" s="45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c r="B60" s="452"/>
      <c r="C60" s="888"/>
      <c r="D60" s="888"/>
      <c r="E60" s="888"/>
      <c r="F60" s="888"/>
      <c r="G60" s="889"/>
      <c r="H60" s="1011"/>
      <c r="I60" s="935"/>
      <c r="J60" s="935"/>
      <c r="K60" s="935"/>
      <c r="L60" s="935"/>
      <c r="M60" s="453"/>
      <c r="N60" s="451"/>
      <c r="O60" s="451"/>
      <c r="P60" s="451"/>
      <c r="Q60" s="451"/>
      <c r="R60" s="45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thickBot="1">
      <c r="B61" s="457"/>
      <c r="C61" s="890"/>
      <c r="D61" s="890"/>
      <c r="E61" s="890"/>
      <c r="F61" s="890"/>
      <c r="G61" s="891"/>
      <c r="H61" s="1012"/>
      <c r="I61" s="1013"/>
      <c r="J61" s="1013"/>
      <c r="K61" s="1013"/>
      <c r="L61" s="1013"/>
      <c r="M61" s="454"/>
      <c r="N61" s="451"/>
      <c r="O61" s="451"/>
      <c r="P61" s="451"/>
      <c r="Q61" s="451"/>
      <c r="R61" s="45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s="1" customFormat="1">
      <c r="A62" s="439"/>
      <c r="B62" s="439"/>
      <c r="C62" s="439"/>
      <c r="D62" s="439"/>
      <c r="E62" s="439"/>
      <c r="F62" s="439"/>
      <c r="G62" s="439"/>
      <c r="H62" s="439"/>
      <c r="I62" s="439"/>
      <c r="J62" s="439"/>
      <c r="K62" s="439"/>
      <c r="L62" s="439"/>
      <c r="M62" s="439"/>
      <c r="N62" s="439"/>
      <c r="O62" s="439"/>
      <c r="P62" s="439"/>
      <c r="Q62" s="439"/>
      <c r="R62" s="439"/>
      <c r="S62" s="4"/>
    </row>
    <row r="63" spans="1:84" s="1" customFormat="1">
      <c r="A63" s="196"/>
      <c r="B63" s="196"/>
      <c r="C63" s="196"/>
      <c r="D63" s="196"/>
      <c r="E63" s="196"/>
      <c r="F63" s="196"/>
      <c r="G63" s="196"/>
      <c r="H63" s="196"/>
      <c r="I63" s="196"/>
      <c r="J63" s="196"/>
      <c r="K63" s="196"/>
      <c r="N63" s="458"/>
      <c r="O63" s="458"/>
      <c r="P63" s="458"/>
      <c r="Q63" s="458"/>
      <c r="R63" s="458"/>
      <c r="S63" s="459"/>
    </row>
    <row r="64" spans="1:84" s="1" customFormat="1" ht="15" thickBot="1">
      <c r="A64" s="458"/>
      <c r="B64" s="458"/>
      <c r="C64" s="458"/>
      <c r="D64" s="458"/>
      <c r="E64" s="458"/>
      <c r="F64" s="458"/>
      <c r="G64" s="458"/>
      <c r="H64" s="458"/>
      <c r="I64" s="458"/>
      <c r="J64" s="458"/>
      <c r="K64" s="458"/>
      <c r="L64" s="458"/>
      <c r="M64" s="458"/>
      <c r="N64" s="458"/>
      <c r="O64" s="458"/>
      <c r="P64" s="458"/>
      <c r="Q64" s="458"/>
      <c r="R64" s="458"/>
      <c r="S64" s="459"/>
    </row>
    <row r="65" spans="2:84" ht="18.600000000000001" thickBot="1">
      <c r="B65" s="881" t="s">
        <v>21</v>
      </c>
      <c r="C65" s="882"/>
      <c r="D65" s="882"/>
      <c r="E65" s="882"/>
      <c r="F65" s="882"/>
      <c r="G65" s="882"/>
      <c r="H65" s="882"/>
      <c r="I65" s="882"/>
      <c r="J65" s="882"/>
      <c r="K65" s="882"/>
      <c r="L65" s="882"/>
      <c r="M65" s="1004"/>
      <c r="N65" s="460"/>
      <c r="O65" s="461"/>
      <c r="P65" s="461"/>
      <c r="Q65" s="461"/>
      <c r="R65" s="461"/>
      <c r="S65" s="462"/>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2:84" ht="15" customHeight="1" thickBot="1">
      <c r="B66" s="950" t="s">
        <v>63</v>
      </c>
      <c r="C66" s="951"/>
      <c r="D66" s="951"/>
      <c r="E66" s="951"/>
      <c r="F66" s="951"/>
      <c r="G66" s="951"/>
      <c r="H66" s="951"/>
      <c r="I66" s="951"/>
      <c r="J66" s="951"/>
      <c r="K66" s="951"/>
      <c r="L66" s="951"/>
      <c r="M66" s="952"/>
      <c r="N66" s="460"/>
      <c r="O66" s="461"/>
      <c r="P66" s="461"/>
      <c r="Q66" s="461"/>
      <c r="R66" s="461"/>
      <c r="S66" s="463"/>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2:84" ht="15" customHeight="1" thickBot="1">
      <c r="B67" s="932" t="s">
        <v>64</v>
      </c>
      <c r="C67" s="933"/>
      <c r="D67" s="933"/>
      <c r="E67" s="933"/>
      <c r="F67" s="933"/>
      <c r="G67" s="933"/>
      <c r="H67" s="934"/>
      <c r="I67" s="696" t="s">
        <v>65</v>
      </c>
      <c r="J67" s="908" t="s">
        <v>66</v>
      </c>
      <c r="K67" s="909"/>
      <c r="L67" s="909"/>
      <c r="M67" s="910"/>
      <c r="N67" s="464"/>
      <c r="O67" s="465"/>
      <c r="P67" s="465"/>
      <c r="Q67" s="465"/>
      <c r="R67" s="466"/>
      <c r="S67" s="467"/>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2:84" ht="15" customHeight="1">
      <c r="B68" s="932" t="s">
        <v>67</v>
      </c>
      <c r="C68" s="933"/>
      <c r="D68" s="933"/>
      <c r="E68" s="933"/>
      <c r="F68" s="933"/>
      <c r="G68" s="933"/>
      <c r="H68" s="934"/>
      <c r="I68" s="696" t="s">
        <v>68</v>
      </c>
      <c r="J68" s="468"/>
      <c r="K68" s="468"/>
      <c r="L68" s="468"/>
      <c r="M68" s="468"/>
      <c r="N68" s="464"/>
      <c r="O68" s="465"/>
      <c r="P68" s="465"/>
      <c r="Q68" s="465"/>
      <c r="R68" s="466"/>
      <c r="S68" s="467"/>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2:84" ht="15" customHeight="1">
      <c r="B69" s="864" t="s">
        <v>69</v>
      </c>
      <c r="C69" s="865"/>
      <c r="D69" s="865"/>
      <c r="E69" s="865"/>
      <c r="F69" s="866"/>
      <c r="G69" s="221"/>
      <c r="H69" s="221"/>
      <c r="I69" s="221"/>
      <c r="J69" s="164"/>
      <c r="K69" s="164"/>
      <c r="L69" s="164"/>
      <c r="M69" s="165"/>
      <c r="N69" s="162"/>
      <c r="O69" s="163"/>
      <c r="P69" s="163"/>
      <c r="Q69" s="163"/>
      <c r="R69" s="163"/>
      <c r="S69" s="469"/>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2:84" ht="28.5" customHeight="1">
      <c r="B70" s="864" t="s">
        <v>70</v>
      </c>
      <c r="C70" s="865"/>
      <c r="D70" s="865"/>
      <c r="E70" s="865"/>
      <c r="F70" s="866"/>
      <c r="G70" s="291" t="s">
        <v>536</v>
      </c>
      <c r="H70" s="291" t="s">
        <v>551</v>
      </c>
      <c r="I70" s="291"/>
      <c r="J70" s="291"/>
      <c r="K70" s="291"/>
      <c r="L70" s="291"/>
      <c r="M70" s="291"/>
      <c r="N70" s="291"/>
      <c r="O70" s="291"/>
      <c r="P70" s="291"/>
      <c r="Q70" s="291"/>
      <c r="R70" s="291"/>
      <c r="S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2:84" ht="31.5" customHeight="1">
      <c r="B71" s="864" t="s">
        <v>71</v>
      </c>
      <c r="C71" s="865"/>
      <c r="D71" s="865"/>
      <c r="E71" s="865"/>
      <c r="F71" s="866"/>
      <c r="G71" s="222"/>
      <c r="H71" s="222"/>
      <c r="I71" s="222"/>
      <c r="J71" s="222"/>
      <c r="K71" s="222"/>
      <c r="L71" s="222"/>
      <c r="M71" s="222"/>
      <c r="N71" s="222"/>
      <c r="O71" s="222"/>
      <c r="P71" s="222"/>
      <c r="Q71" s="222"/>
      <c r="R71" s="222"/>
      <c r="S71" s="469"/>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2:84" ht="31.5" customHeight="1" thickBot="1">
      <c r="B72" s="1026" t="s">
        <v>72</v>
      </c>
      <c r="C72" s="1027"/>
      <c r="D72" s="1027"/>
      <c r="E72" s="1027"/>
      <c r="F72" s="1027"/>
      <c r="G72" s="221"/>
      <c r="H72" s="221"/>
      <c r="I72" s="221"/>
      <c r="J72" s="221"/>
      <c r="K72" s="221"/>
      <c r="L72" s="221"/>
      <c r="M72" s="221"/>
      <c r="N72" s="221"/>
      <c r="O72" s="221"/>
      <c r="P72" s="221"/>
      <c r="Q72" s="221"/>
      <c r="R72" s="221"/>
      <c r="S72" s="469"/>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2:84" ht="15" customHeight="1" thickBot="1">
      <c r="B73" s="1022" t="s">
        <v>73</v>
      </c>
      <c r="C73" s="788"/>
      <c r="D73" s="788"/>
      <c r="E73" s="788"/>
      <c r="F73" s="788"/>
      <c r="G73" s="788"/>
      <c r="H73" s="788"/>
      <c r="I73" s="788"/>
      <c r="J73" s="788"/>
      <c r="K73" s="788"/>
      <c r="L73" s="788"/>
      <c r="M73" s="1023"/>
      <c r="N73" s="1021"/>
      <c r="O73" s="1021"/>
      <c r="P73" s="1021"/>
      <c r="Q73" s="1021"/>
      <c r="R73" s="1021"/>
      <c r="S73" s="469"/>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2:84" ht="15" customHeight="1">
      <c r="B74" s="1005"/>
      <c r="C74" s="1006"/>
      <c r="D74" s="1006"/>
      <c r="E74" s="1007"/>
      <c r="F74" s="470" t="s">
        <v>74</v>
      </c>
      <c r="G74" s="959" t="s">
        <v>75</v>
      </c>
      <c r="H74" s="960"/>
      <c r="I74" s="960"/>
      <c r="J74" s="960"/>
      <c r="K74" s="960"/>
      <c r="L74" s="960"/>
      <c r="M74" s="961"/>
      <c r="N74" s="471"/>
      <c r="O74" s="472"/>
      <c r="P74" s="472"/>
      <c r="Q74" s="472"/>
      <c r="R74" s="472"/>
      <c r="S74" s="469"/>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2:84" ht="15" customHeight="1">
      <c r="B75" s="923" t="s">
        <v>76</v>
      </c>
      <c r="C75" s="924"/>
      <c r="D75" s="924"/>
      <c r="E75" s="473" t="s">
        <v>77</v>
      </c>
      <c r="F75" s="474">
        <f>SUM(G75:M75)</f>
        <v>0</v>
      </c>
      <c r="G75" s="357"/>
      <c r="H75" s="357"/>
      <c r="I75" s="357"/>
      <c r="J75" s="357"/>
      <c r="K75" s="357"/>
      <c r="L75" s="357"/>
      <c r="M75" s="357"/>
      <c r="N75" s="357"/>
      <c r="O75" s="357"/>
      <c r="P75" s="357"/>
      <c r="Q75" s="357"/>
      <c r="R75" s="357"/>
      <c r="S75" s="463"/>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2:84" ht="15" customHeight="1">
      <c r="B76" s="956" t="s">
        <v>78</v>
      </c>
      <c r="C76" s="957"/>
      <c r="D76" s="957"/>
      <c r="E76" s="475" t="s">
        <v>79</v>
      </c>
      <c r="F76" s="474">
        <f t="shared" ref="F76:F79" si="0">SUM(G76:M76)</f>
        <v>0</v>
      </c>
      <c r="G76" s="476">
        <f>SUM(G77,G78:G79)</f>
        <v>0</v>
      </c>
      <c r="H76" s="476">
        <f t="shared" ref="H76:R76" si="1">SUM(H77,H78:H79)</f>
        <v>0</v>
      </c>
      <c r="I76" s="476">
        <f t="shared" si="1"/>
        <v>0</v>
      </c>
      <c r="J76" s="476">
        <f t="shared" si="1"/>
        <v>0</v>
      </c>
      <c r="K76" s="476">
        <f t="shared" si="1"/>
        <v>0</v>
      </c>
      <c r="L76" s="476">
        <f t="shared" si="1"/>
        <v>0</v>
      </c>
      <c r="M76" s="476">
        <f t="shared" si="1"/>
        <v>0</v>
      </c>
      <c r="N76" s="476">
        <f t="shared" si="1"/>
        <v>0</v>
      </c>
      <c r="O76" s="476">
        <f t="shared" si="1"/>
        <v>0</v>
      </c>
      <c r="P76" s="476">
        <f t="shared" si="1"/>
        <v>0</v>
      </c>
      <c r="Q76" s="476">
        <f t="shared" si="1"/>
        <v>0</v>
      </c>
      <c r="R76" s="476">
        <f t="shared" si="1"/>
        <v>0</v>
      </c>
      <c r="S76" s="463"/>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2:84" ht="15" customHeight="1">
      <c r="B77" s="858" t="s">
        <v>7</v>
      </c>
      <c r="C77" s="859"/>
      <c r="D77" s="477" t="s">
        <v>80</v>
      </c>
      <c r="E77" s="475" t="s">
        <v>79</v>
      </c>
      <c r="F77" s="474">
        <f t="shared" si="0"/>
        <v>0</v>
      </c>
      <c r="G77" s="357"/>
      <c r="H77" s="357"/>
      <c r="I77" s="357"/>
      <c r="J77" s="357"/>
      <c r="K77" s="357"/>
      <c r="L77" s="357"/>
      <c r="M77" s="357"/>
      <c r="N77" s="357"/>
      <c r="O77" s="357"/>
      <c r="P77" s="357"/>
      <c r="Q77" s="357"/>
      <c r="R77" s="357"/>
      <c r="S77" s="463"/>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2:84" ht="15" customHeight="1">
      <c r="B78" s="958" t="s">
        <v>81</v>
      </c>
      <c r="C78" s="957"/>
      <c r="D78" s="957"/>
      <c r="E78" s="475" t="s">
        <v>79</v>
      </c>
      <c r="F78" s="474">
        <f t="shared" si="0"/>
        <v>0</v>
      </c>
      <c r="G78" s="357"/>
      <c r="H78" s="357"/>
      <c r="I78" s="357"/>
      <c r="J78" s="357"/>
      <c r="K78" s="357"/>
      <c r="L78" s="357"/>
      <c r="M78" s="357"/>
      <c r="N78" s="357"/>
      <c r="O78" s="357"/>
      <c r="P78" s="357"/>
      <c r="Q78" s="357"/>
      <c r="R78" s="357"/>
      <c r="S78" s="463"/>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2:84" ht="15" customHeight="1">
      <c r="B79" s="958" t="s">
        <v>82</v>
      </c>
      <c r="C79" s="957"/>
      <c r="D79" s="957"/>
      <c r="E79" s="475" t="s">
        <v>79</v>
      </c>
      <c r="F79" s="474">
        <f t="shared" si="0"/>
        <v>0</v>
      </c>
      <c r="G79" s="357"/>
      <c r="H79" s="357"/>
      <c r="I79" s="357"/>
      <c r="J79" s="357"/>
      <c r="K79" s="357"/>
      <c r="L79" s="357"/>
      <c r="M79" s="357"/>
      <c r="N79" s="357"/>
      <c r="O79" s="357"/>
      <c r="P79" s="357"/>
      <c r="Q79" s="357"/>
      <c r="R79" s="357"/>
      <c r="S79" s="463"/>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2:84" ht="15" customHeight="1">
      <c r="B80" s="923" t="s">
        <v>83</v>
      </c>
      <c r="C80" s="924"/>
      <c r="D80" s="924"/>
      <c r="E80" s="475"/>
      <c r="F80" s="478"/>
      <c r="G80" s="371"/>
      <c r="H80" s="371"/>
      <c r="I80" s="371"/>
      <c r="J80" s="371"/>
      <c r="K80" s="371"/>
      <c r="L80" s="371"/>
      <c r="M80" s="371"/>
      <c r="N80" s="371"/>
      <c r="O80" s="371"/>
      <c r="P80" s="371"/>
      <c r="Q80" s="371"/>
      <c r="R80" s="371"/>
      <c r="S80" s="463"/>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2:84" ht="15" customHeight="1">
      <c r="B81" s="923" t="str">
        <f>IF(G80="oui","Classe énergétique","")</f>
        <v/>
      </c>
      <c r="C81" s="924"/>
      <c r="D81" s="924"/>
      <c r="E81" s="475"/>
      <c r="F81" s="478"/>
      <c r="G81" s="370"/>
      <c r="H81" s="370"/>
      <c r="I81" s="370"/>
      <c r="J81" s="370"/>
      <c r="K81" s="370"/>
      <c r="L81" s="370"/>
      <c r="M81" s="370"/>
      <c r="N81" s="370"/>
      <c r="O81" s="370"/>
      <c r="P81" s="370"/>
      <c r="Q81" s="370"/>
      <c r="R81" s="370"/>
      <c r="S81" s="463"/>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2:84" ht="15" customHeight="1" thickBot="1">
      <c r="B82" s="921" t="s">
        <v>84</v>
      </c>
      <c r="C82" s="922"/>
      <c r="D82" s="922"/>
      <c r="E82" s="473" t="s">
        <v>85</v>
      </c>
      <c r="F82" s="474" t="str">
        <f>IF(SUM(G82:R82)=0,"",SUM(G82:R82))</f>
        <v/>
      </c>
      <c r="G82" s="357"/>
      <c r="H82" s="357"/>
      <c r="I82" s="357"/>
      <c r="J82" s="357"/>
      <c r="K82" s="357"/>
      <c r="L82" s="357"/>
      <c r="M82" s="357"/>
      <c r="N82" s="357"/>
      <c r="O82" s="357"/>
      <c r="P82" s="357"/>
      <c r="Q82" s="357"/>
      <c r="R82" s="357"/>
      <c r="S82" s="463"/>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2:84" ht="15" customHeight="1" thickBot="1">
      <c r="B83" s="853" t="s">
        <v>86</v>
      </c>
      <c r="C83" s="854"/>
      <c r="D83" s="854"/>
      <c r="E83" s="854"/>
      <c r="F83" s="854"/>
      <c r="G83" s="854"/>
      <c r="H83" s="854"/>
      <c r="I83" s="854"/>
      <c r="J83" s="854"/>
      <c r="K83" s="854"/>
      <c r="L83" s="854"/>
      <c r="M83" s="855"/>
      <c r="N83" s="1068"/>
      <c r="O83" s="1068"/>
      <c r="P83" s="1068"/>
      <c r="Q83" s="1068"/>
      <c r="R83" s="1068"/>
      <c r="S83" s="480"/>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2:84" ht="15" customHeight="1">
      <c r="B84" s="988"/>
      <c r="C84" s="989"/>
      <c r="D84" s="989"/>
      <c r="E84" s="990"/>
      <c r="F84" s="481" t="s">
        <v>74</v>
      </c>
      <c r="G84" s="991" t="s">
        <v>75</v>
      </c>
      <c r="H84" s="992"/>
      <c r="I84" s="992"/>
      <c r="J84" s="992"/>
      <c r="K84" s="992"/>
      <c r="L84" s="992"/>
      <c r="M84" s="993"/>
      <c r="N84" s="482"/>
      <c r="O84" s="482"/>
      <c r="P84" s="482"/>
      <c r="Q84" s="482"/>
      <c r="R84" s="482"/>
      <c r="S84" s="480"/>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2:84" s="1" customFormat="1" ht="15" customHeight="1">
      <c r="B85" s="923" t="s">
        <v>76</v>
      </c>
      <c r="C85" s="924"/>
      <c r="D85" s="924"/>
      <c r="E85" s="473" t="s">
        <v>77</v>
      </c>
      <c r="F85" s="474">
        <f>SUM(G85:R85)</f>
        <v>0</v>
      </c>
      <c r="G85" s="357"/>
      <c r="H85" s="357"/>
      <c r="I85" s="357"/>
      <c r="J85" s="357"/>
      <c r="K85" s="357"/>
      <c r="L85" s="357"/>
      <c r="M85" s="357"/>
      <c r="N85" s="357"/>
      <c r="O85" s="357"/>
      <c r="P85" s="357"/>
      <c r="Q85" s="357"/>
      <c r="R85" s="357"/>
      <c r="S85" s="480"/>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row>
    <row r="86" spans="2:84" s="1" customFormat="1" ht="15" customHeight="1">
      <c r="B86" s="956" t="s">
        <v>78</v>
      </c>
      <c r="C86" s="957"/>
      <c r="D86" s="957"/>
      <c r="E86" s="475" t="s">
        <v>79</v>
      </c>
      <c r="F86" s="474">
        <f>SUM(G86:R86)</f>
        <v>0</v>
      </c>
      <c r="G86" s="476">
        <f t="shared" ref="G86:R86" si="2">SUM(G87,G88:G89)</f>
        <v>0</v>
      </c>
      <c r="H86" s="476">
        <f t="shared" si="2"/>
        <v>0</v>
      </c>
      <c r="I86" s="476">
        <f t="shared" si="2"/>
        <v>0</v>
      </c>
      <c r="J86" s="476">
        <f t="shared" si="2"/>
        <v>0</v>
      </c>
      <c r="K86" s="476">
        <f t="shared" si="2"/>
        <v>0</v>
      </c>
      <c r="L86" s="476">
        <f t="shared" si="2"/>
        <v>0</v>
      </c>
      <c r="M86" s="476">
        <f t="shared" si="2"/>
        <v>0</v>
      </c>
      <c r="N86" s="476">
        <f t="shared" si="2"/>
        <v>0</v>
      </c>
      <c r="O86" s="476">
        <f t="shared" si="2"/>
        <v>0</v>
      </c>
      <c r="P86" s="476">
        <f t="shared" si="2"/>
        <v>0</v>
      </c>
      <c r="Q86" s="476">
        <f t="shared" si="2"/>
        <v>0</v>
      </c>
      <c r="R86" s="476">
        <f t="shared" si="2"/>
        <v>0</v>
      </c>
      <c r="S86" s="480"/>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row>
    <row r="87" spans="2:84" s="1" customFormat="1" ht="15" customHeight="1">
      <c r="B87" s="858" t="s">
        <v>7</v>
      </c>
      <c r="C87" s="859"/>
      <c r="D87" s="477" t="s">
        <v>80</v>
      </c>
      <c r="E87" s="475" t="s">
        <v>79</v>
      </c>
      <c r="F87" s="474">
        <f>SUM(G87:R87)</f>
        <v>0</v>
      </c>
      <c r="G87" s="357"/>
      <c r="H87" s="357"/>
      <c r="I87" s="357"/>
      <c r="J87" s="357"/>
      <c r="K87" s="357"/>
      <c r="L87" s="357"/>
      <c r="M87" s="357"/>
      <c r="N87" s="357"/>
      <c r="O87" s="357"/>
      <c r="P87" s="357"/>
      <c r="Q87" s="357"/>
      <c r="R87" s="357"/>
      <c r="S87" s="480"/>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row>
    <row r="88" spans="2:84" s="1" customFormat="1" ht="15" customHeight="1">
      <c r="B88" s="1008" t="s">
        <v>81</v>
      </c>
      <c r="C88" s="1009"/>
      <c r="D88" s="1010"/>
      <c r="E88" s="475" t="s">
        <v>79</v>
      </c>
      <c r="F88" s="474">
        <f>SUM(G88:R88)</f>
        <v>0</v>
      </c>
      <c r="G88" s="357"/>
      <c r="H88" s="357"/>
      <c r="I88" s="357"/>
      <c r="J88" s="357"/>
      <c r="K88" s="357"/>
      <c r="L88" s="357"/>
      <c r="M88" s="357"/>
      <c r="N88" s="357"/>
      <c r="O88" s="357"/>
      <c r="P88" s="357"/>
      <c r="Q88" s="357"/>
      <c r="R88" s="357"/>
      <c r="S88" s="480"/>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row>
    <row r="89" spans="2:84" s="1" customFormat="1" ht="15" customHeight="1">
      <c r="B89" s="958" t="s">
        <v>82</v>
      </c>
      <c r="C89" s="957"/>
      <c r="D89" s="957"/>
      <c r="E89" s="475" t="s">
        <v>79</v>
      </c>
      <c r="F89" s="474">
        <f t="shared" ref="F89" si="3">SUM(G89:R89)</f>
        <v>0</v>
      </c>
      <c r="G89" s="357"/>
      <c r="H89" s="357"/>
      <c r="I89" s="357"/>
      <c r="J89" s="357"/>
      <c r="K89" s="357"/>
      <c r="L89" s="357"/>
      <c r="M89" s="357"/>
      <c r="N89" s="357"/>
      <c r="O89" s="357"/>
      <c r="P89" s="357"/>
      <c r="Q89" s="357"/>
      <c r="R89" s="357"/>
      <c r="S89" s="480"/>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row>
    <row r="90" spans="2:84" s="1" customFormat="1" ht="15" customHeight="1">
      <c r="B90" s="970" t="s">
        <v>87</v>
      </c>
      <c r="C90" s="971"/>
      <c r="D90" s="972"/>
      <c r="E90" s="473" t="s">
        <v>79</v>
      </c>
      <c r="F90" s="474">
        <f>SUM(G90:R90)</f>
        <v>0</v>
      </c>
      <c r="G90" s="476">
        <f>IFERROR(IF(OR(G70='Menus biomasse'!$AA$16,'Fiche projet biomasse'!G70='Menus biomasse'!$AA$17,'Fiche projet biomasse'!G70='Menus biomasse'!$AA$18),"Non applicable",VLOOKUP(G70,'Valeurs de reference'!$D$76:$P$88,2,FALSE)*(VLOOKUP(G70,'Valeurs de reference'!$D$76:$P$88,HLOOKUP($I$67,'Valeurs de reference'!D74:P75,2,FALSE),FALSE)+VLOOKUP(G70,'Valeurs de reference'!$D$76:$P$88,HLOOKUP($I$68,'Valeurs de reference'!D74:P75,2,FALSE),FALSE))*G85/1000),"")</f>
        <v>0</v>
      </c>
      <c r="H90" s="476">
        <f>IFERROR(IF(OR(H70='Menus biomasse'!$AA$16,'Fiche projet biomasse'!H70='Menus biomasse'!$AA$17,'Fiche projet biomasse'!H70='Menus biomasse'!$AA$18),"Non applicable",VLOOKUP(H70,'Valeurs de reference'!$D$76:$P$88,2,FALSE)*(VLOOKUP(H70,'Valeurs de reference'!$D$76:$P$88,HLOOKUP($I$67,'Valeurs de reference'!E74:Q75,2,FALSE),FALSE)+VLOOKUP(H70,'Valeurs de reference'!$D$76:$P$88,HLOOKUP($I$68,'Valeurs de reference'!E74:Q75,2,FALSE),FALSE))*H85/1000),"")</f>
        <v>0</v>
      </c>
      <c r="I90" s="476" t="str">
        <f>IFERROR(IF(OR(I70='Menus biomasse'!$AA$16,'Fiche projet biomasse'!I70='Menus biomasse'!$AA$17,'Fiche projet biomasse'!I70='Menus biomasse'!$AA$18),"Non applicable",VLOOKUP(I70,'Valeurs de reference'!$D$76:$P$88,2,FALSE)*(VLOOKUP(I70,'Valeurs de reference'!$D$76:$P$88,HLOOKUP($I$67,'Valeurs de reference'!F74:R75,2,FALSE),FALSE)+VLOOKUP(I70,'Valeurs de reference'!$D$76:$P$88,HLOOKUP($I$68,'Valeurs de reference'!F74:R75,2,FALSE),FALSE))*I85/1000),"")</f>
        <v/>
      </c>
      <c r="J90" s="476" t="str">
        <f>IFERROR(IF(OR(J70='Menus biomasse'!$AA$16,'Fiche projet biomasse'!J70='Menus biomasse'!$AA$17,'Fiche projet biomasse'!J70='Menus biomasse'!$AA$18),"Non applicable",VLOOKUP(J70,'Valeurs de reference'!$D$76:$P$88,2,FALSE)*(VLOOKUP(J70,'Valeurs de reference'!$D$76:$P$88,HLOOKUP($I$67,'Valeurs de reference'!G74:S75,2,FALSE),FALSE)+VLOOKUP(J70,'Valeurs de reference'!$D$76:$P$88,HLOOKUP($I$68,'Valeurs de reference'!G74:S75,2,FALSE),FALSE))*J85/1000),"")</f>
        <v/>
      </c>
      <c r="K90" s="476" t="str">
        <f>IFERROR(IF(OR(K70='Menus biomasse'!$AA$16,'Fiche projet biomasse'!K70='Menus biomasse'!$AA$17,'Fiche projet biomasse'!K70='Menus biomasse'!$AA$18),"Non applicable",VLOOKUP(K70,'Valeurs de reference'!$D$76:$P$88,2,FALSE)*(VLOOKUP(K70,'Valeurs de reference'!$D$76:$P$88,HLOOKUP($I$67,'Valeurs de reference'!H74:T75,2,FALSE),FALSE)+VLOOKUP(K70,'Valeurs de reference'!$D$76:$P$88,HLOOKUP($I$68,'Valeurs de reference'!H74:T75,2,FALSE),FALSE))*K85/1000),"")</f>
        <v/>
      </c>
      <c r="L90" s="476" t="str">
        <f>IFERROR(IF(OR(L70='Menus biomasse'!$AA$16,'Fiche projet biomasse'!L70='Menus biomasse'!$AA$17,'Fiche projet biomasse'!L70='Menus biomasse'!$AA$18),"Non applicable",VLOOKUP(L70,'Valeurs de reference'!$D$76:$P$88,2,FALSE)*(VLOOKUP(L70,'Valeurs de reference'!$D$76:$P$88,HLOOKUP($I$67,'Valeurs de reference'!I74:U75,2,FALSE),FALSE)+VLOOKUP(L70,'Valeurs de reference'!$D$76:$P$88,HLOOKUP($I$68,'Valeurs de reference'!I74:U75,2,FALSE),FALSE))*L85/1000),"")</f>
        <v/>
      </c>
      <c r="M90" s="476" t="str">
        <f>IFERROR(IF(OR(M70='Menus biomasse'!$AA$16,'Fiche projet biomasse'!M70='Menus biomasse'!$AA$17,'Fiche projet biomasse'!M70='Menus biomasse'!$AA$18),"Non applicable",VLOOKUP(M70,'Valeurs de reference'!$D$76:$P$88,2,FALSE)*(VLOOKUP(M70,'Valeurs de reference'!$D$76:$P$88,HLOOKUP($I$67,'Valeurs de reference'!J74:V75,2,FALSE),FALSE)+VLOOKUP(M70,'Valeurs de reference'!$D$76:$P$88,HLOOKUP($I$68,'Valeurs de reference'!J74:V75,2,FALSE),FALSE))*M85/1000),"")</f>
        <v/>
      </c>
      <c r="N90" s="476" t="str">
        <f>IFERROR(IF(OR(N70='Menus biomasse'!$AA$16,'Fiche projet biomasse'!N70='Menus biomasse'!$AA$17,'Fiche projet biomasse'!N70='Menus biomasse'!$AA$18),"Non applicable",VLOOKUP(N70,'Valeurs de reference'!$D$76:$P$88,2,FALSE)*(VLOOKUP(N70,'Valeurs de reference'!$D$76:$P$88,HLOOKUP($I$67,'Valeurs de reference'!K74:W75,2,FALSE),FALSE)+VLOOKUP(N70,'Valeurs de reference'!$D$76:$P$88,HLOOKUP($I$68,'Valeurs de reference'!K74:W75,2,FALSE),FALSE))*N85/1000),"")</f>
        <v/>
      </c>
      <c r="O90" s="476" t="str">
        <f>IFERROR(IF(OR(O70='Menus biomasse'!$AA$16,'Fiche projet biomasse'!O70='Menus biomasse'!$AA$17,'Fiche projet biomasse'!O70='Menus biomasse'!$AA$18),"Non applicable",VLOOKUP(O70,'Valeurs de reference'!$D$76:$P$88,2,FALSE)*(VLOOKUP(O70,'Valeurs de reference'!$D$76:$P$88,HLOOKUP($I$67,'Valeurs de reference'!L74:X75,2,FALSE),FALSE)+VLOOKUP(O70,'Valeurs de reference'!$D$76:$P$88,HLOOKUP($I$68,'Valeurs de reference'!L74:X75,2,FALSE),FALSE))*O85/1000),"")</f>
        <v/>
      </c>
      <c r="P90" s="476" t="str">
        <f>IFERROR(IF(OR(P70='Menus biomasse'!$AA$16,'Fiche projet biomasse'!P70='Menus biomasse'!$AA$17,'Fiche projet biomasse'!P70='Menus biomasse'!$AA$18),"Non applicable",VLOOKUP(P70,'Valeurs de reference'!$D$76:$P$88,2,FALSE)*(VLOOKUP(P70,'Valeurs de reference'!$D$76:$P$88,HLOOKUP($I$67,'Valeurs de reference'!M74:Y75,2,FALSE),FALSE)+VLOOKUP(P70,'Valeurs de reference'!$D$76:$P$88,HLOOKUP($I$68,'Valeurs de reference'!M74:Y75,2,FALSE),FALSE))*P85/1000),"")</f>
        <v/>
      </c>
      <c r="Q90" s="476" t="str">
        <f>IFERROR(IF(OR(Q70='Menus biomasse'!$AA$16,'Fiche projet biomasse'!Q70='Menus biomasse'!$AA$17,'Fiche projet biomasse'!Q70='Menus biomasse'!$AA$18),"Non applicable",VLOOKUP(Q70,'Valeurs de reference'!$D$76:$P$88,2,FALSE)*(VLOOKUP(Q70,'Valeurs de reference'!$D$76:$P$88,HLOOKUP($I$67,'Valeurs de reference'!N74:Z75,2,FALSE),FALSE)+VLOOKUP(Q70,'Valeurs de reference'!$D$76:$P$88,HLOOKUP($I$68,'Valeurs de reference'!N74:Z75,2,FALSE),FALSE))*Q85/1000),"")</f>
        <v/>
      </c>
      <c r="R90" s="476" t="str">
        <f>IFERROR(IF(OR(R70='Menus biomasse'!$AA$16,'Fiche projet biomasse'!R70='Menus biomasse'!$AA$17,'Fiche projet biomasse'!R70='Menus biomasse'!$AA$18),"Non applicable",VLOOKUP(R70,'Valeurs de reference'!$D$76:$P$88,2,FALSE)*(VLOOKUP(R70,'Valeurs de reference'!$D$76:$P$88,HLOOKUP($I$67,'Valeurs de reference'!O74:AA75,2,FALSE),FALSE)+VLOOKUP(R70,'Valeurs de reference'!$D$76:$P$88,HLOOKUP($I$68,'Valeurs de reference'!O74:AA75,2,FALSE),FALSE))*R85/1000),"")</f>
        <v/>
      </c>
      <c r="S90" s="480"/>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row>
    <row r="91" spans="2:84" s="1" customFormat="1" ht="43.5" customHeight="1">
      <c r="B91" s="923" t="s">
        <v>88</v>
      </c>
      <c r="C91" s="924"/>
      <c r="D91" s="924"/>
      <c r="E91" s="473"/>
      <c r="F91" s="483" t="str">
        <f>IF(OR(G90&lt;G87,H90&lt;H87,I90&lt;I87,J90&lt;J87,K90&lt;K87,L90&lt;L87,M90&lt;M87,N90&lt;N87,O90&lt;O87,P90&lt;P87,Q90&lt;Q87,R90&lt;R87),"Faible efficacité énergétique d'au moins un consommateur","OK")</f>
        <v>OK</v>
      </c>
      <c r="G91" s="484" t="str">
        <f>IFERROR(IF(G87&gt;G90,"Faible efficacité énergétique",""),"")</f>
        <v/>
      </c>
      <c r="H91" s="484" t="str">
        <f t="shared" ref="H91" si="4">IFERROR(IF(H87&gt;H90,"Faible efficacité énergétique",""),"")</f>
        <v/>
      </c>
      <c r="I91" s="484" t="str">
        <f t="shared" ref="I91" si="5">IFERROR(IF(I87&gt;I90,"Faible efficacité énergétique",""),"")</f>
        <v/>
      </c>
      <c r="J91" s="484" t="str">
        <f t="shared" ref="J91" si="6">IFERROR(IF(J87&gt;J90,"Faible efficacité énergétique",""),"")</f>
        <v/>
      </c>
      <c r="K91" s="484" t="str">
        <f t="shared" ref="K91" si="7">IFERROR(IF(K87&gt;K90,"Faible efficacité énergétique",""),"")</f>
        <v/>
      </c>
      <c r="L91" s="484" t="str">
        <f t="shared" ref="L91" si="8">IFERROR(IF(L87&gt;L90,"Faible efficacité énergétique",""),"")</f>
        <v/>
      </c>
      <c r="M91" s="484" t="str">
        <f t="shared" ref="M91" si="9">IFERROR(IF(M87&gt;M90,"Faible efficacité énergétique",""),"")</f>
        <v/>
      </c>
      <c r="N91" s="484" t="str">
        <f t="shared" ref="N91" si="10">IFERROR(IF(N87&gt;N90,"Faible efficacité énergétique",""),"")</f>
        <v/>
      </c>
      <c r="O91" s="484" t="str">
        <f t="shared" ref="O91" si="11">IFERROR(IF(O87&gt;O90,"Faible efficacité énergétique",""),"")</f>
        <v/>
      </c>
      <c r="P91" s="484" t="str">
        <f t="shared" ref="P91" si="12">IFERROR(IF(P87&gt;P90,"Faible efficacité énergétique",""),"")</f>
        <v/>
      </c>
      <c r="Q91" s="484" t="str">
        <f t="shared" ref="Q91" si="13">IFERROR(IF(Q87&gt;Q90,"Faible efficacité énergétique",""),"")</f>
        <v/>
      </c>
      <c r="R91" s="484" t="str">
        <f t="shared" ref="R91" si="14">IFERROR(IF(R87&gt;R90,"Faible efficacité énergétique",""),"")</f>
        <v/>
      </c>
      <c r="S91" s="485"/>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row>
    <row r="92" spans="2:84" s="1" customFormat="1" ht="15" customHeight="1">
      <c r="B92" s="923" t="s">
        <v>816</v>
      </c>
      <c r="C92" s="924"/>
      <c r="D92" s="924"/>
      <c r="E92" s="473"/>
      <c r="F92" s="478"/>
      <c r="G92" s="371"/>
      <c r="H92" s="371"/>
      <c r="I92" s="371"/>
      <c r="J92" s="371"/>
      <c r="K92" s="371"/>
      <c r="L92" s="371"/>
      <c r="M92" s="371"/>
      <c r="N92" s="371"/>
      <c r="O92" s="371"/>
      <c r="P92" s="371"/>
      <c r="Q92" s="371"/>
      <c r="R92" s="371"/>
      <c r="S92" s="480"/>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row>
    <row r="93" spans="2:84" s="1" customFormat="1" ht="15" customHeight="1">
      <c r="B93" s="923" t="str">
        <f>IF(G92="oui","Classe énergétique DPE","")</f>
        <v/>
      </c>
      <c r="C93" s="924"/>
      <c r="D93" s="924"/>
      <c r="E93" s="473"/>
      <c r="F93" s="478"/>
      <c r="G93" s="358"/>
      <c r="H93" s="358"/>
      <c r="I93" s="358"/>
      <c r="J93" s="358"/>
      <c r="K93" s="358"/>
      <c r="L93" s="358"/>
      <c r="M93" s="358"/>
      <c r="N93" s="358"/>
      <c r="O93" s="358"/>
      <c r="P93" s="358"/>
      <c r="Q93" s="358"/>
      <c r="R93" s="358"/>
      <c r="S93" s="480"/>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row>
    <row r="94" spans="2:84" s="1" customFormat="1" ht="15" customHeight="1">
      <c r="B94" s="921" t="s">
        <v>84</v>
      </c>
      <c r="C94" s="922"/>
      <c r="D94" s="922"/>
      <c r="E94" s="473" t="s">
        <v>85</v>
      </c>
      <c r="F94" s="474" t="str">
        <f>IF(SUM(G94:R94)=0,"",SUM(G94:R94))</f>
        <v/>
      </c>
      <c r="G94" s="357"/>
      <c r="H94" s="357"/>
      <c r="I94" s="357"/>
      <c r="J94" s="357"/>
      <c r="K94" s="357"/>
      <c r="L94" s="357"/>
      <c r="M94" s="357"/>
      <c r="N94" s="357"/>
      <c r="O94" s="357"/>
      <c r="P94" s="357"/>
      <c r="Q94" s="357"/>
      <c r="R94" s="357"/>
      <c r="S94" s="480"/>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row>
    <row r="95" spans="2:84" ht="15" customHeight="1">
      <c r="B95" s="1014" t="s">
        <v>89</v>
      </c>
      <c r="C95" s="1015"/>
      <c r="D95" s="1015"/>
      <c r="E95" s="1016"/>
      <c r="F95" s="486"/>
      <c r="G95" s="358"/>
      <c r="H95" s="358"/>
      <c r="I95" s="358"/>
      <c r="J95" s="358"/>
      <c r="K95" s="358"/>
      <c r="L95" s="358"/>
      <c r="M95" s="358"/>
      <c r="N95" s="358"/>
      <c r="O95" s="358"/>
      <c r="P95" s="358"/>
      <c r="Q95" s="358"/>
      <c r="R95" s="358"/>
      <c r="S95" s="480"/>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2:84" ht="38.25" customHeight="1">
      <c r="B96" s="875" t="s">
        <v>90</v>
      </c>
      <c r="C96" s="876"/>
      <c r="D96" s="876"/>
      <c r="E96" s="877"/>
      <c r="F96" s="487"/>
      <c r="G96" s="358"/>
      <c r="H96" s="358"/>
      <c r="I96" s="358"/>
      <c r="J96" s="358"/>
      <c r="K96" s="358"/>
      <c r="L96" s="358"/>
      <c r="M96" s="358"/>
      <c r="N96" s="358"/>
      <c r="O96" s="358"/>
      <c r="P96" s="358"/>
      <c r="Q96" s="358"/>
      <c r="R96" s="358"/>
      <c r="S96" s="480"/>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s="1" customFormat="1" ht="17.25" customHeight="1">
      <c r="B97" s="1019" t="s">
        <v>91</v>
      </c>
      <c r="C97" s="1020"/>
      <c r="D97" s="1020"/>
      <c r="E97" s="1020"/>
      <c r="F97" s="1020"/>
      <c r="G97" s="1020"/>
      <c r="H97" s="1020"/>
      <c r="I97" s="1020"/>
      <c r="J97" s="1020"/>
      <c r="K97" s="1020"/>
      <c r="L97" s="1020"/>
      <c r="M97" s="1020"/>
      <c r="N97" s="1020"/>
      <c r="O97" s="1020"/>
      <c r="P97" s="1020"/>
      <c r="Q97" s="1020"/>
      <c r="R97" s="1020"/>
      <c r="S97" s="490"/>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row>
    <row r="98" spans="1:84" s="1" customFormat="1" ht="15" customHeight="1">
      <c r="B98" s="491"/>
      <c r="C98" s="935"/>
      <c r="D98" s="935"/>
      <c r="E98" s="935"/>
      <c r="F98" s="935"/>
      <c r="G98" s="935"/>
      <c r="H98" s="935"/>
      <c r="I98" s="935"/>
      <c r="J98" s="935"/>
      <c r="K98" s="935"/>
      <c r="L98" s="935"/>
      <c r="M98" s="935"/>
      <c r="N98" s="935"/>
      <c r="O98" s="935"/>
      <c r="P98" s="935"/>
      <c r="Q98" s="935"/>
      <c r="R98" s="492"/>
      <c r="S98" s="493"/>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row>
    <row r="99" spans="1:84" s="1" customFormat="1">
      <c r="B99" s="491"/>
      <c r="C99" s="935"/>
      <c r="D99" s="935"/>
      <c r="E99" s="935"/>
      <c r="F99" s="935"/>
      <c r="G99" s="935"/>
      <c r="H99" s="935"/>
      <c r="I99" s="935"/>
      <c r="J99" s="935"/>
      <c r="K99" s="935"/>
      <c r="L99" s="935"/>
      <c r="M99" s="935"/>
      <c r="N99" s="935"/>
      <c r="O99" s="935"/>
      <c r="P99" s="935"/>
      <c r="Q99" s="935"/>
      <c r="R99" s="492"/>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row>
    <row r="100" spans="1:84" s="1" customFormat="1" ht="15" thickBot="1">
      <c r="B100" s="494"/>
      <c r="C100" s="997"/>
      <c r="D100" s="997"/>
      <c r="E100" s="997"/>
      <c r="F100" s="997"/>
      <c r="G100" s="997"/>
      <c r="H100" s="997"/>
      <c r="I100" s="997"/>
      <c r="J100" s="997"/>
      <c r="K100" s="997"/>
      <c r="L100" s="997"/>
      <c r="M100" s="997"/>
      <c r="N100" s="997"/>
      <c r="O100" s="997"/>
      <c r="P100" s="997"/>
      <c r="Q100" s="997"/>
      <c r="R100" s="495"/>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row>
    <row r="101" spans="1:84" s="1" customFormat="1" ht="15" thickBot="1">
      <c r="A101" s="496"/>
      <c r="B101" s="496"/>
      <c r="C101" s="496"/>
      <c r="D101" s="496"/>
      <c r="E101" s="497"/>
      <c r="F101" s="498"/>
      <c r="G101" s="499"/>
      <c r="H101" s="499"/>
      <c r="I101" s="456"/>
      <c r="J101" s="499"/>
      <c r="K101" s="499"/>
      <c r="L101" s="499"/>
      <c r="M101" s="499"/>
      <c r="N101" s="456"/>
      <c r="O101" s="456"/>
      <c r="P101" s="456"/>
      <c r="Q101" s="456"/>
      <c r="R101" s="456"/>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row>
    <row r="102" spans="1:84" ht="18" customHeight="1" thickBot="1">
      <c r="B102" s="913" t="s">
        <v>92</v>
      </c>
      <c r="C102" s="914"/>
      <c r="D102" s="914"/>
      <c r="E102" s="914"/>
      <c r="F102" s="914"/>
      <c r="G102" s="914"/>
      <c r="H102" s="914"/>
      <c r="I102" s="914"/>
      <c r="J102" s="914"/>
      <c r="K102" s="914"/>
      <c r="L102" s="914"/>
      <c r="M102" s="915"/>
      <c r="N102" s="455"/>
      <c r="O102" s="455"/>
      <c r="P102" s="455"/>
      <c r="Q102" s="455"/>
      <c r="R102" s="455"/>
      <c r="S102" s="434"/>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8" customHeight="1" thickBot="1">
      <c r="B103" s="488" t="s">
        <v>93</v>
      </c>
      <c r="C103" s="916" t="s">
        <v>94</v>
      </c>
      <c r="D103" s="916"/>
      <c r="E103" s="916"/>
      <c r="F103" s="916"/>
      <c r="G103" s="916"/>
      <c r="H103" s="916" t="s">
        <v>95</v>
      </c>
      <c r="I103" s="916"/>
      <c r="J103" s="916"/>
      <c r="K103" s="916"/>
      <c r="L103" s="916"/>
      <c r="M103" s="500"/>
      <c r="N103" s="455"/>
      <c r="O103" s="455"/>
      <c r="P103" s="455"/>
      <c r="Q103" s="455"/>
      <c r="R103" s="455"/>
      <c r="S103" s="434"/>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8" customHeight="1">
      <c r="B104" s="449"/>
      <c r="C104" s="918" t="s">
        <v>96</v>
      </c>
      <c r="D104" s="918"/>
      <c r="E104" s="888"/>
      <c r="F104" s="888"/>
      <c r="G104" s="889"/>
      <c r="H104" s="917" t="s">
        <v>97</v>
      </c>
      <c r="I104" s="918"/>
      <c r="J104" s="935"/>
      <c r="K104" s="935"/>
      <c r="L104" s="935"/>
      <c r="M104" s="450"/>
      <c r="N104" s="455"/>
      <c r="O104" s="455"/>
      <c r="P104" s="455"/>
      <c r="Q104" s="455"/>
      <c r="R104" s="455"/>
      <c r="S104" s="434"/>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8" customHeight="1">
      <c r="B105" s="449"/>
      <c r="C105" s="918"/>
      <c r="D105" s="918"/>
      <c r="E105" s="888"/>
      <c r="F105" s="888"/>
      <c r="G105" s="889"/>
      <c r="H105" s="917" t="s">
        <v>98</v>
      </c>
      <c r="I105" s="918"/>
      <c r="J105" s="935"/>
      <c r="K105" s="935"/>
      <c r="L105" s="935"/>
      <c r="M105" s="453"/>
      <c r="N105" s="455"/>
      <c r="O105" s="455"/>
      <c r="P105" s="455"/>
      <c r="Q105" s="455"/>
      <c r="R105" s="455"/>
      <c r="S105" s="434"/>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8" customHeight="1" thickBot="1">
      <c r="B106" s="449"/>
      <c r="C106" s="918"/>
      <c r="D106" s="918"/>
      <c r="E106" s="888"/>
      <c r="F106" s="888"/>
      <c r="G106" s="889"/>
      <c r="H106" s="919" t="str">
        <f>B91</f>
        <v>Commentaire efficacité énergétique chauffage</v>
      </c>
      <c r="I106" s="920"/>
      <c r="J106" s="501" t="str">
        <f>F91</f>
        <v>OK</v>
      </c>
      <c r="K106" s="935" t="s">
        <v>99</v>
      </c>
      <c r="L106" s="935"/>
      <c r="M106" s="453"/>
      <c r="N106" s="455"/>
      <c r="O106" s="455"/>
      <c r="P106" s="455"/>
      <c r="Q106" s="455"/>
      <c r="R106" s="455"/>
      <c r="S106" s="434"/>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8" customHeight="1">
      <c r="B107" s="488" t="s">
        <v>100</v>
      </c>
      <c r="C107" s="911" t="s">
        <v>101</v>
      </c>
      <c r="D107" s="911"/>
      <c r="E107" s="911"/>
      <c r="F107" s="911"/>
      <c r="G107" s="911"/>
      <c r="H107" s="489"/>
      <c r="I107" s="489"/>
      <c r="J107" s="489"/>
      <c r="K107" s="489"/>
      <c r="L107" s="489"/>
      <c r="M107" s="500"/>
      <c r="N107" s="455"/>
      <c r="O107" s="455"/>
      <c r="P107" s="455"/>
      <c r="Q107" s="455"/>
      <c r="R107" s="455"/>
      <c r="S107" s="434"/>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8" customHeight="1">
      <c r="B108" s="452"/>
      <c r="C108" s="1000" t="s">
        <v>102</v>
      </c>
      <c r="D108" s="1001"/>
      <c r="E108" s="1001"/>
      <c r="F108" s="1078" t="s">
        <v>103</v>
      </c>
      <c r="G108" s="1079"/>
      <c r="H108" s="1000" t="s">
        <v>104</v>
      </c>
      <c r="I108" s="1001"/>
      <c r="J108" s="1002" t="s">
        <v>105</v>
      </c>
      <c r="K108" s="1002"/>
      <c r="L108" s="1003"/>
      <c r="M108" s="453"/>
      <c r="N108" s="451"/>
      <c r="O108" s="451"/>
      <c r="P108" s="451"/>
      <c r="Q108" s="451"/>
      <c r="R108" s="451"/>
      <c r="S108" s="434"/>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2.55000000000001" customHeight="1">
      <c r="B109" s="452"/>
      <c r="C109" s="969"/>
      <c r="D109" s="969"/>
      <c r="E109" s="969"/>
      <c r="F109" s="969"/>
      <c r="G109" s="999"/>
      <c r="H109" s="969" t="s">
        <v>106</v>
      </c>
      <c r="I109" s="969"/>
      <c r="J109" s="969"/>
      <c r="K109" s="969"/>
      <c r="L109" s="999"/>
      <c r="M109" s="453"/>
      <c r="N109" s="451"/>
      <c r="O109" s="451"/>
      <c r="P109" s="451"/>
      <c r="Q109" s="451"/>
      <c r="R109" s="45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8" customHeight="1">
      <c r="B110" s="452"/>
      <c r="C110" s="969"/>
      <c r="D110" s="969"/>
      <c r="E110" s="969"/>
      <c r="F110" s="969"/>
      <c r="G110" s="999"/>
      <c r="H110" s="969"/>
      <c r="I110" s="969"/>
      <c r="J110" s="969"/>
      <c r="K110" s="969"/>
      <c r="L110" s="999"/>
      <c r="M110" s="453"/>
      <c r="N110" s="455"/>
      <c r="O110" s="455"/>
      <c r="P110" s="455"/>
      <c r="Q110" s="455"/>
      <c r="R110" s="455"/>
      <c r="S110" s="434"/>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s="509" customFormat="1" ht="28.5" customHeight="1">
      <c r="A111" s="502"/>
      <c r="B111" s="503"/>
      <c r="C111" s="1085" t="s">
        <v>107</v>
      </c>
      <c r="D111" s="1085"/>
      <c r="E111" s="1085"/>
      <c r="F111" s="1085"/>
      <c r="G111" s="159" t="s">
        <v>108</v>
      </c>
      <c r="H111" s="1086" t="s">
        <v>109</v>
      </c>
      <c r="I111" s="1086"/>
      <c r="J111" s="1086"/>
      <c r="K111" s="1086"/>
      <c r="L111" s="159" t="s">
        <v>108</v>
      </c>
      <c r="M111" s="506"/>
      <c r="N111" s="507"/>
      <c r="O111" s="507"/>
      <c r="P111" s="507"/>
      <c r="Q111" s="507"/>
      <c r="R111" s="507"/>
      <c r="S111" s="508"/>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2"/>
      <c r="AY111" s="502"/>
      <c r="AZ111" s="502"/>
      <c r="BA111" s="502"/>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row>
    <row r="112" spans="1:84" s="509" customFormat="1" ht="28.5" customHeight="1" thickBot="1">
      <c r="A112" s="502"/>
      <c r="B112" s="503"/>
      <c r="C112" s="504" t="s">
        <v>110</v>
      </c>
      <c r="D112" s="968"/>
      <c r="E112" s="968"/>
      <c r="F112" s="968"/>
      <c r="G112" s="968"/>
      <c r="H112" s="505" t="s">
        <v>111</v>
      </c>
      <c r="I112" s="969"/>
      <c r="J112" s="969"/>
      <c r="K112" s="969"/>
      <c r="L112" s="969"/>
      <c r="M112" s="506"/>
      <c r="N112" s="507"/>
      <c r="O112" s="507"/>
      <c r="P112" s="507"/>
      <c r="Q112" s="507"/>
      <c r="R112" s="507"/>
      <c r="S112" s="508"/>
      <c r="T112" s="502"/>
      <c r="U112" s="502"/>
      <c r="V112" s="502"/>
      <c r="W112" s="502"/>
      <c r="X112" s="502"/>
      <c r="Y112" s="502"/>
      <c r="Z112" s="502"/>
      <c r="AA112" s="502"/>
      <c r="AB112" s="502"/>
      <c r="AC112" s="502"/>
      <c r="AD112" s="502"/>
      <c r="AE112" s="502"/>
      <c r="AF112" s="502"/>
      <c r="AG112" s="502"/>
      <c r="AH112" s="502"/>
      <c r="AI112" s="502"/>
      <c r="AJ112" s="502"/>
      <c r="AK112" s="502"/>
      <c r="AL112" s="502"/>
      <c r="AM112" s="502"/>
      <c r="AN112" s="502"/>
      <c r="AO112" s="502"/>
      <c r="AP112" s="502"/>
      <c r="AQ112" s="502"/>
      <c r="AR112" s="502"/>
      <c r="AS112" s="502"/>
      <c r="AT112" s="502"/>
      <c r="AU112" s="502"/>
      <c r="AV112" s="502"/>
      <c r="AW112" s="502"/>
      <c r="AX112" s="502"/>
      <c r="AY112" s="502"/>
      <c r="AZ112" s="502"/>
      <c r="BA112" s="502"/>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row>
    <row r="113" spans="1:84" ht="18" customHeight="1">
      <c r="B113" s="1019" t="s">
        <v>112</v>
      </c>
      <c r="C113" s="1020"/>
      <c r="D113" s="911" t="s">
        <v>113</v>
      </c>
      <c r="E113" s="911"/>
      <c r="F113" s="911"/>
      <c r="G113" s="911"/>
      <c r="H113" s="510"/>
      <c r="I113" s="489"/>
      <c r="J113" s="489"/>
      <c r="K113" s="489"/>
      <c r="L113" s="489"/>
      <c r="M113" s="500"/>
      <c r="N113" s="451"/>
      <c r="O113" s="451"/>
      <c r="P113" s="451"/>
      <c r="Q113" s="451"/>
      <c r="R113" s="45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8" customHeight="1">
      <c r="B114" s="452"/>
      <c r="C114" s="1001" t="s">
        <v>114</v>
      </c>
      <c r="D114" s="1001"/>
      <c r="E114" s="1001"/>
      <c r="F114" s="888"/>
      <c r="G114" s="889"/>
      <c r="H114" s="1095" t="s">
        <v>115</v>
      </c>
      <c r="I114" s="1096"/>
      <c r="J114" s="159" t="s">
        <v>108</v>
      </c>
      <c r="K114" s="935" t="s">
        <v>99</v>
      </c>
      <c r="L114" s="935"/>
      <c r="M114" s="453"/>
      <c r="N114" s="451"/>
      <c r="O114" s="451"/>
      <c r="P114" s="451"/>
      <c r="Q114" s="451"/>
      <c r="R114" s="45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8" customHeight="1">
      <c r="B115" s="452"/>
      <c r="C115" s="1001" t="s">
        <v>116</v>
      </c>
      <c r="D115" s="1001"/>
      <c r="E115" s="1001"/>
      <c r="F115" s="1089"/>
      <c r="G115" s="1090"/>
      <c r="H115" s="1095" t="s">
        <v>117</v>
      </c>
      <c r="I115" s="1096"/>
      <c r="J115" s="159" t="s">
        <v>108</v>
      </c>
      <c r="K115" s="935"/>
      <c r="L115" s="935"/>
      <c r="M115" s="453"/>
      <c r="N115" s="451"/>
      <c r="O115" s="451"/>
      <c r="P115" s="451"/>
      <c r="Q115" s="451"/>
      <c r="R115" s="45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8" customHeight="1" thickBot="1">
      <c r="B116" s="452"/>
      <c r="C116" s="1001" t="s">
        <v>118</v>
      </c>
      <c r="D116" s="1001"/>
      <c r="E116" s="1001"/>
      <c r="F116" s="888"/>
      <c r="G116" s="889"/>
      <c r="H116" s="1095" t="s">
        <v>119</v>
      </c>
      <c r="I116" s="1096"/>
      <c r="J116" s="159" t="s">
        <v>108</v>
      </c>
      <c r="K116" s="935"/>
      <c r="L116" s="935"/>
      <c r="M116" s="453"/>
      <c r="N116" s="451"/>
      <c r="O116" s="451"/>
      <c r="P116" s="451"/>
      <c r="Q116" s="451"/>
      <c r="R116" s="45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8" customHeight="1">
      <c r="B117" s="950"/>
      <c r="C117" s="951"/>
      <c r="D117" s="951"/>
      <c r="E117" s="951"/>
      <c r="F117" s="951"/>
      <c r="G117" s="951"/>
      <c r="H117" s="951"/>
      <c r="I117" s="951"/>
      <c r="J117" s="951"/>
      <c r="K117" s="951"/>
      <c r="L117" s="951"/>
      <c r="M117" s="952"/>
      <c r="N117" s="451"/>
      <c r="O117" s="451"/>
      <c r="P117" s="451"/>
      <c r="Q117" s="451"/>
      <c r="R117" s="45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s="1" customFormat="1">
      <c r="A118" s="496"/>
      <c r="B118" s="496"/>
      <c r="C118" s="496"/>
      <c r="D118" s="496"/>
      <c r="E118" s="497"/>
      <c r="F118" s="498"/>
      <c r="G118" s="499"/>
      <c r="H118" s="499"/>
      <c r="I118" s="456"/>
      <c r="J118" s="499"/>
      <c r="K118" s="499"/>
      <c r="L118" s="499"/>
      <c r="M118" s="499"/>
      <c r="N118" s="456"/>
      <c r="O118" s="456"/>
      <c r="P118" s="456"/>
      <c r="Q118" s="456"/>
      <c r="R118" s="456"/>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row>
    <row r="119" spans="1:84" s="1" customFormat="1" ht="15" customHeight="1" thickBot="1">
      <c r="A119" s="511"/>
      <c r="B119" s="511"/>
      <c r="C119" s="511"/>
      <c r="D119" s="511"/>
      <c r="E119" s="512"/>
      <c r="F119" s="513"/>
      <c r="G119" s="456"/>
      <c r="H119" s="1084"/>
      <c r="I119" s="1084"/>
      <c r="J119" s="1084"/>
      <c r="K119" s="456"/>
      <c r="L119" s="456"/>
      <c r="M119" s="456"/>
      <c r="N119" s="426"/>
      <c r="O119" s="426"/>
      <c r="P119" s="426"/>
      <c r="Q119" s="426"/>
      <c r="R119" s="426"/>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row>
    <row r="120" spans="1:84" ht="24.75" customHeight="1" thickBot="1">
      <c r="B120" s="994" t="s">
        <v>22</v>
      </c>
      <c r="C120" s="995"/>
      <c r="D120" s="995"/>
      <c r="E120" s="995"/>
      <c r="F120" s="995"/>
      <c r="G120" s="995"/>
      <c r="H120" s="995"/>
      <c r="I120" s="995"/>
      <c r="J120" s="995"/>
      <c r="K120" s="995"/>
      <c r="L120" s="995"/>
      <c r="M120" s="996"/>
      <c r="N120" s="479"/>
      <c r="O120" s="479"/>
      <c r="P120" s="479"/>
      <c r="Q120" s="479"/>
      <c r="R120" s="479"/>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customHeight="1" thickBot="1">
      <c r="B121" s="853" t="s">
        <v>120</v>
      </c>
      <c r="C121" s="854"/>
      <c r="D121" s="854"/>
      <c r="E121" s="854"/>
      <c r="F121" s="854"/>
      <c r="G121" s="854"/>
      <c r="H121" s="854"/>
      <c r="I121" s="854"/>
      <c r="J121" s="854"/>
      <c r="K121" s="854"/>
      <c r="L121" s="854"/>
      <c r="M121" s="855"/>
      <c r="N121" s="514"/>
      <c r="O121" s="514"/>
      <c r="P121" s="514"/>
      <c r="Q121" s="514"/>
      <c r="R121" s="514"/>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customHeight="1">
      <c r="B122" s="856" t="s">
        <v>121</v>
      </c>
      <c r="C122" s="856"/>
      <c r="D122" s="856"/>
      <c r="E122" s="857"/>
      <c r="F122" s="515" t="s">
        <v>85</v>
      </c>
      <c r="G122" s="516" t="str">
        <f>F94</f>
        <v/>
      </c>
      <c r="H122" s="517" t="str">
        <f>IFERROR(IF(G122&lt;&gt;F94, "Attention puissance appelée et nominale de l'installation différentes",""),"")</f>
        <v/>
      </c>
      <c r="I122" s="518"/>
      <c r="J122" s="518"/>
      <c r="K122" s="944" t="s">
        <v>28</v>
      </c>
      <c r="L122" s="945"/>
      <c r="M122" s="945"/>
      <c r="N122" s="945"/>
      <c r="O122" s="945"/>
      <c r="P122" s="946"/>
      <c r="Q122" s="522"/>
      <c r="R122" s="522"/>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customHeight="1">
      <c r="B123" s="1082" t="s">
        <v>122</v>
      </c>
      <c r="C123" s="1082"/>
      <c r="D123" s="1082"/>
      <c r="E123" s="1083"/>
      <c r="F123" s="515"/>
      <c r="G123" s="377"/>
      <c r="H123" s="517"/>
      <c r="I123" s="518"/>
      <c r="J123" s="518"/>
      <c r="K123" s="944" t="s">
        <v>28</v>
      </c>
      <c r="L123" s="945"/>
      <c r="M123" s="945"/>
      <c r="N123" s="945"/>
      <c r="O123" s="945"/>
      <c r="P123" s="946"/>
      <c r="Q123" s="522"/>
      <c r="R123" s="522"/>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customHeight="1">
      <c r="B124" s="865" t="s">
        <v>123</v>
      </c>
      <c r="C124" s="865"/>
      <c r="D124" s="865"/>
      <c r="E124" s="866"/>
      <c r="F124" s="523" t="s">
        <v>85</v>
      </c>
      <c r="G124" s="377"/>
      <c r="H124" s="517" t="str">
        <f>IFERROR(IF((G124/G122)&lt;0.95,IF((G124/G122)&lt;0.85,"Votre installation nécessite un appoint","Votre installation nécessite un ballon d'accumulation"),""),"")</f>
        <v/>
      </c>
      <c r="I124" s="518"/>
      <c r="J124" s="518"/>
      <c r="K124" s="944" t="s">
        <v>28</v>
      </c>
      <c r="L124" s="945"/>
      <c r="M124" s="945"/>
      <c r="N124" s="945"/>
      <c r="O124" s="945"/>
      <c r="P124" s="946"/>
      <c r="Q124" s="522"/>
      <c r="R124" s="522"/>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customHeight="1">
      <c r="B125" s="865" t="s">
        <v>124</v>
      </c>
      <c r="C125" s="865"/>
      <c r="D125" s="865"/>
      <c r="E125" s="866"/>
      <c r="F125" s="523" t="s">
        <v>125</v>
      </c>
      <c r="G125" s="377"/>
      <c r="H125" s="986"/>
      <c r="I125" s="987"/>
      <c r="J125" s="758"/>
      <c r="K125" s="944" t="s">
        <v>28</v>
      </c>
      <c r="L125" s="945"/>
      <c r="M125" s="945"/>
      <c r="N125" s="945"/>
      <c r="O125" s="945"/>
      <c r="P125" s="946"/>
      <c r="Q125" s="522"/>
      <c r="R125" s="522"/>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customHeight="1">
      <c r="B126" s="865" t="s">
        <v>126</v>
      </c>
      <c r="C126" s="865"/>
      <c r="D126" s="865"/>
      <c r="E126" s="866"/>
      <c r="F126" s="523"/>
      <c r="G126" s="381"/>
      <c r="H126" s="529" t="str">
        <f>IF(G126&lt;&gt;O309,"vérifier saisie bloc approvisionnement","")</f>
        <v>vérifier saisie bloc approvisionnement</v>
      </c>
      <c r="I126" s="524"/>
      <c r="J126" s="518"/>
      <c r="K126" s="944" t="s">
        <v>28</v>
      </c>
      <c r="L126" s="945"/>
      <c r="M126" s="945"/>
      <c r="N126" s="945"/>
      <c r="O126" s="945"/>
      <c r="P126" s="946"/>
      <c r="Q126" s="522"/>
      <c r="R126" s="522"/>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customHeight="1">
      <c r="B127" s="865" t="s">
        <v>78</v>
      </c>
      <c r="C127" s="865"/>
      <c r="D127" s="865"/>
      <c r="E127" s="866"/>
      <c r="F127" s="525" t="s">
        <v>79</v>
      </c>
      <c r="G127" s="526">
        <f>F86</f>
        <v>0</v>
      </c>
      <c r="H127" s="527" t="str">
        <f>IF(G130&gt;2000,"Le dimensionnement bois est optimal","")</f>
        <v>Le dimensionnement bois est optimal</v>
      </c>
      <c r="I127" s="518"/>
      <c r="J127" s="518"/>
      <c r="K127" s="944" t="s">
        <v>28</v>
      </c>
      <c r="L127" s="945"/>
      <c r="M127" s="945"/>
      <c r="N127" s="945"/>
      <c r="O127" s="945"/>
      <c r="P127" s="946"/>
      <c r="Q127" s="522"/>
      <c r="R127" s="522"/>
      <c r="S127" s="493"/>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customHeight="1">
      <c r="B128" s="865" t="s">
        <v>127</v>
      </c>
      <c r="C128" s="865"/>
      <c r="D128" s="865"/>
      <c r="E128" s="866"/>
      <c r="F128" s="525" t="s">
        <v>128</v>
      </c>
      <c r="G128" s="378"/>
      <c r="H128" s="193" t="str">
        <f>IF(G130&lt;1200,IF(G126="Granulés",IF(J125="ballon","Attention surpuissance chaudière ?","Dimensionnement inéligible"),""),"")</f>
        <v/>
      </c>
      <c r="I128" s="518" t="str">
        <f>IF(G130&lt;1200,IF(G126="Granulés","",IF(G123&gt;1,"","Inéligible, revoir dimensionnement")),"")</f>
        <v/>
      </c>
      <c r="J128" s="518"/>
      <c r="K128" s="944" t="s">
        <v>28</v>
      </c>
      <c r="L128" s="945"/>
      <c r="M128" s="945"/>
      <c r="N128" s="945"/>
      <c r="O128" s="945"/>
      <c r="P128" s="946"/>
      <c r="Q128" s="522"/>
      <c r="R128" s="522"/>
      <c r="S128" s="493"/>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2:84" ht="15" customHeight="1">
      <c r="B129" s="865" t="s">
        <v>129</v>
      </c>
      <c r="C129" s="865"/>
      <c r="D129" s="865"/>
      <c r="E129" s="866"/>
      <c r="F129" s="528" t="s">
        <v>130</v>
      </c>
      <c r="G129" s="379" t="str">
        <f>IFERROR(G128/G127,"")</f>
        <v/>
      </c>
      <c r="H129" s="529" t="str">
        <f>IFERROR(IF(G129="", "",IF(G129&lt;1,IF(G129&lt;0.65,"Votre installation biomasse couvre moins de 65% des besoins","Votre installation nécessite un appoint"),IF(G129&gt;1,"Vérifiez s'il faut appliquer un rendement de distribution",""))),"")</f>
        <v/>
      </c>
      <c r="I129" s="518"/>
      <c r="J129" s="518"/>
      <c r="K129" s="944" t="s">
        <v>28</v>
      </c>
      <c r="L129" s="945"/>
      <c r="M129" s="945"/>
      <c r="N129" s="945"/>
      <c r="O129" s="945"/>
      <c r="P129" s="946"/>
      <c r="Q129" s="522"/>
      <c r="R129" s="522"/>
      <c r="S129" s="493"/>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2:84" ht="15" customHeight="1">
      <c r="B130" s="865" t="s">
        <v>131</v>
      </c>
      <c r="C130" s="865"/>
      <c r="D130" s="865"/>
      <c r="E130" s="866"/>
      <c r="F130" s="528"/>
      <c r="G130" s="382" t="str">
        <f>IFERROR(G128/(G124/1000),"")</f>
        <v/>
      </c>
      <c r="H130" s="517"/>
      <c r="I130" s="518"/>
      <c r="J130" s="518"/>
      <c r="K130" s="944" t="s">
        <v>28</v>
      </c>
      <c r="L130" s="945"/>
      <c r="M130" s="945"/>
      <c r="N130" s="945"/>
      <c r="O130" s="945"/>
      <c r="P130" s="946"/>
      <c r="Q130" s="522"/>
      <c r="R130" s="522"/>
      <c r="S130" s="493"/>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2:84" ht="15" customHeight="1">
      <c r="B131" s="865" t="s">
        <v>132</v>
      </c>
      <c r="C131" s="865"/>
      <c r="D131" s="865"/>
      <c r="E131" s="866"/>
      <c r="F131" s="528"/>
      <c r="G131" s="697"/>
      <c r="H131" s="383" t="str">
        <f>IF(G131&gt;=0.85, "","le rendement à puissance nominale doit être supérieur à 85%")</f>
        <v>le rendement à puissance nominale doit être supérieur à 85%</v>
      </c>
      <c r="I131" s="383"/>
      <c r="J131" s="383"/>
      <c r="K131" s="944" t="s">
        <v>28</v>
      </c>
      <c r="L131" s="945"/>
      <c r="M131" s="945"/>
      <c r="N131" s="945"/>
      <c r="O131" s="945"/>
      <c r="P131" s="946"/>
      <c r="Q131" s="522"/>
      <c r="R131" s="522"/>
      <c r="S131" s="493"/>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2:84" ht="15" customHeight="1">
      <c r="B132" s="865" t="s">
        <v>817</v>
      </c>
      <c r="C132" s="865"/>
      <c r="D132" s="865"/>
      <c r="E132" s="866"/>
      <c r="F132" s="530" t="s">
        <v>130</v>
      </c>
      <c r="G132" s="755"/>
      <c r="H132" s="998" t="s">
        <v>818</v>
      </c>
      <c r="I132" s="998"/>
      <c r="J132" s="756" t="e">
        <f>G128/G132</f>
        <v>#DIV/0!</v>
      </c>
      <c r="K132" s="944" t="s">
        <v>28</v>
      </c>
      <c r="L132" s="945"/>
      <c r="M132" s="945"/>
      <c r="N132" s="945"/>
      <c r="O132" s="945"/>
      <c r="P132" s="946"/>
      <c r="Q132" s="522"/>
      <c r="R132" s="522"/>
      <c r="S132" s="493"/>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2:84" ht="15" customHeight="1">
      <c r="B133" s="864" t="s">
        <v>133</v>
      </c>
      <c r="C133" s="865"/>
      <c r="D133" s="865"/>
      <c r="E133" s="866"/>
      <c r="F133" s="530" t="s">
        <v>134</v>
      </c>
      <c r="G133" s="380"/>
      <c r="H133" s="531"/>
      <c r="I133" s="531"/>
      <c r="J133" s="194"/>
      <c r="K133" s="519" t="s">
        <v>28</v>
      </c>
      <c r="L133" s="520"/>
      <c r="M133" s="520"/>
      <c r="N133" s="520"/>
      <c r="O133" s="520"/>
      <c r="P133" s="521"/>
      <c r="Q133" s="522"/>
      <c r="R133" s="522"/>
      <c r="S133" s="493"/>
      <c r="T133" s="532"/>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2:84" ht="15" customHeight="1">
      <c r="B134" s="865" t="s">
        <v>135</v>
      </c>
      <c r="C134" s="865"/>
      <c r="D134" s="865"/>
      <c r="E134" s="865"/>
      <c r="F134" s="757">
        <v>1</v>
      </c>
      <c r="G134" s="533">
        <v>1</v>
      </c>
      <c r="H134" s="534">
        <v>2</v>
      </c>
      <c r="I134" s="535">
        <v>3</v>
      </c>
      <c r="J134" s="534">
        <v>4</v>
      </c>
      <c r="K134" s="534">
        <v>5</v>
      </c>
      <c r="L134" s="534">
        <v>6</v>
      </c>
      <c r="M134" s="536">
        <v>7</v>
      </c>
      <c r="N134" s="533">
        <v>8</v>
      </c>
      <c r="O134" s="534">
        <v>9</v>
      </c>
      <c r="P134" s="534">
        <v>10</v>
      </c>
      <c r="Q134" s="534">
        <v>11</v>
      </c>
      <c r="R134" s="534">
        <v>12</v>
      </c>
      <c r="S134" s="493"/>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2:84" ht="15" customHeight="1">
      <c r="B135" s="865" t="s">
        <v>136</v>
      </c>
      <c r="C135" s="865"/>
      <c r="D135" s="865"/>
      <c r="E135" s="866"/>
      <c r="F135" s="537" t="s">
        <v>85</v>
      </c>
      <c r="G135" s="406"/>
      <c r="H135" s="406"/>
      <c r="I135" s="166"/>
      <c r="J135" s="166"/>
      <c r="K135" s="166"/>
      <c r="L135" s="166"/>
      <c r="M135" s="166"/>
      <c r="N135" s="166"/>
      <c r="O135" s="166"/>
      <c r="P135" s="166"/>
      <c r="Q135" s="166"/>
      <c r="R135" s="166"/>
      <c r="S135" s="493"/>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2:84" ht="15" customHeight="1">
      <c r="B136" s="865" t="s">
        <v>137</v>
      </c>
      <c r="C136" s="865"/>
      <c r="D136" s="865"/>
      <c r="E136" s="866"/>
      <c r="F136" s="538" t="s">
        <v>138</v>
      </c>
      <c r="G136" s="167"/>
      <c r="H136" s="167"/>
      <c r="I136" s="167"/>
      <c r="J136" s="167"/>
      <c r="K136" s="167"/>
      <c r="L136" s="167"/>
      <c r="M136" s="168"/>
      <c r="N136" s="169"/>
      <c r="O136" s="167"/>
      <c r="P136" s="167"/>
      <c r="Q136" s="167"/>
      <c r="R136" s="167"/>
      <c r="S136" s="493"/>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2:84" ht="15" customHeight="1">
      <c r="B137" s="864" t="s">
        <v>139</v>
      </c>
      <c r="C137" s="865"/>
      <c r="D137" s="865"/>
      <c r="E137" s="866"/>
      <c r="F137" s="538"/>
      <c r="G137" s="171"/>
      <c r="H137" s="171"/>
      <c r="I137" s="171"/>
      <c r="J137" s="171"/>
      <c r="K137" s="171"/>
      <c r="L137" s="171"/>
      <c r="M137" s="172"/>
      <c r="N137" s="173"/>
      <c r="O137" s="171"/>
      <c r="P137" s="171"/>
      <c r="Q137" s="171"/>
      <c r="R137" s="171"/>
      <c r="S137" s="493"/>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2:84" ht="15" customHeight="1">
      <c r="B138" s="864" t="s">
        <v>140</v>
      </c>
      <c r="C138" s="865"/>
      <c r="D138" s="865"/>
      <c r="E138" s="866"/>
      <c r="F138" s="542"/>
      <c r="G138" s="167"/>
      <c r="H138" s="167"/>
      <c r="I138" s="167"/>
      <c r="J138" s="167"/>
      <c r="K138" s="167"/>
      <c r="L138" s="167"/>
      <c r="M138" s="168"/>
      <c r="N138" s="169"/>
      <c r="O138" s="167"/>
      <c r="P138" s="167"/>
      <c r="Q138" s="167"/>
      <c r="R138" s="167"/>
      <c r="S138" s="493"/>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2:84" ht="15" customHeight="1" thickBot="1">
      <c r="B139" s="861" t="s">
        <v>141</v>
      </c>
      <c r="C139" s="862"/>
      <c r="D139" s="862"/>
      <c r="E139" s="863"/>
      <c r="F139" s="542"/>
      <c r="G139" s="174"/>
      <c r="H139" s="175"/>
      <c r="I139" s="175"/>
      <c r="J139" s="175"/>
      <c r="K139" s="175"/>
      <c r="L139" s="175"/>
      <c r="M139" s="176"/>
      <c r="N139" s="173"/>
      <c r="O139" s="171"/>
      <c r="P139" s="171"/>
      <c r="Q139" s="171"/>
      <c r="R139" s="171"/>
      <c r="S139" s="493"/>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2:84" ht="15" customHeight="1" thickBot="1">
      <c r="B140" s="853" t="s">
        <v>142</v>
      </c>
      <c r="C140" s="854"/>
      <c r="D140" s="854"/>
      <c r="E140" s="854"/>
      <c r="F140" s="854"/>
      <c r="G140" s="854"/>
      <c r="H140" s="916"/>
      <c r="I140" s="854"/>
      <c r="J140" s="854"/>
      <c r="K140" s="854"/>
      <c r="L140" s="854"/>
      <c r="M140" s="855"/>
      <c r="N140" s="543"/>
      <c r="O140" s="543"/>
      <c r="P140" s="543"/>
      <c r="Q140" s="543"/>
      <c r="R140" s="543"/>
      <c r="S140" s="493"/>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2:84" ht="16.5" customHeight="1">
      <c r="B141" s="865" t="s">
        <v>143</v>
      </c>
      <c r="C141" s="865"/>
      <c r="D141" s="865"/>
      <c r="E141" s="866"/>
      <c r="F141" s="530"/>
      <c r="G141" s="373"/>
      <c r="H141" s="544" t="str">
        <f>IF(G141="non","","Seuils d'émission PPA")</f>
        <v>Seuils d'émission PPA</v>
      </c>
      <c r="I141" s="518"/>
      <c r="J141" s="518"/>
      <c r="K141" s="944" t="s">
        <v>28</v>
      </c>
      <c r="L141" s="945"/>
      <c r="M141" s="945"/>
      <c r="N141" s="945"/>
      <c r="O141" s="945"/>
      <c r="P141" s="946"/>
      <c r="Q141" s="522"/>
      <c r="R141" s="522"/>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2:84" ht="14.55" customHeight="1">
      <c r="B142" s="865" t="s">
        <v>144</v>
      </c>
      <c r="C142" s="865"/>
      <c r="D142" s="865"/>
      <c r="E142" s="866"/>
      <c r="F142" s="545" t="s">
        <v>145</v>
      </c>
      <c r="G142" s="384"/>
      <c r="H142" s="375"/>
      <c r="I142" s="522" t="str">
        <f>IF(G141="oui",IF(G142&lt;=H142,"","PPA non respecté"),IF(G142&gt;50,"Non éligible car supérieur à 50mg/Nm3",""))</f>
        <v/>
      </c>
      <c r="J142" s="518" t="str">
        <f>IF(Puiss_biomasse&gt;500,IF(ISBLANK($G$142),"A REMPLIR",""),"")</f>
        <v/>
      </c>
      <c r="K142" s="944" t="s">
        <v>28</v>
      </c>
      <c r="L142" s="945"/>
      <c r="M142" s="945"/>
      <c r="N142" s="945"/>
      <c r="O142" s="945"/>
      <c r="P142" s="946"/>
      <c r="Q142" s="518" t="str">
        <f>IF(H142&gt;50,"Vérifier valeurs PPA","")</f>
        <v/>
      </c>
      <c r="R142" s="518"/>
      <c r="S142" s="493"/>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2:84" ht="15" customHeight="1">
      <c r="B143" s="865" t="s">
        <v>146</v>
      </c>
      <c r="C143" s="865"/>
      <c r="D143" s="865"/>
      <c r="E143" s="866"/>
      <c r="F143" s="545" t="s">
        <v>145</v>
      </c>
      <c r="G143" s="384"/>
      <c r="H143" s="376"/>
      <c r="I143" s="522" t="str">
        <f>IF(G141="oui",IF(G143&lt;=H143,"","PPA non respecté"),IF(G143&gt;500,"Non éligible car supérieur à 500mg/Nm3",""))</f>
        <v/>
      </c>
      <c r="J143" s="518" t="str">
        <f>IF(Puiss_biomasse&gt;500,IF(ISBLANK($G$143),"A REMPLIR",""),"")</f>
        <v/>
      </c>
      <c r="K143" s="519" t="s">
        <v>28</v>
      </c>
      <c r="L143" s="520"/>
      <c r="M143" s="520"/>
      <c r="N143" s="520"/>
      <c r="O143" s="520"/>
      <c r="P143" s="520"/>
      <c r="Q143" s="518" t="str">
        <f>IF(H143&gt;500,"Vérifier valeurs PPA","")</f>
        <v/>
      </c>
      <c r="R143" s="518"/>
      <c r="S143" s="493"/>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2:84" ht="15" customHeight="1">
      <c r="B144" s="865" t="s">
        <v>147</v>
      </c>
      <c r="C144" s="865"/>
      <c r="D144" s="865"/>
      <c r="E144" s="866"/>
      <c r="F144" s="545" t="s">
        <v>145</v>
      </c>
      <c r="G144" s="385"/>
      <c r="H144" s="376"/>
      <c r="I144" s="522" t="str">
        <f>IF(G141="oui",IF(G144&lt;=H144,"","PPA non respecté"),IF(G141="Oui",IF(G144&gt;500,"Non éligible car supérieur à 500mg/Nm3",""),IF(G144&gt;500,"Non éligible car supérieur à 500mg/Nm3","")))</f>
        <v/>
      </c>
      <c r="J144" s="518" t="str">
        <f>IF(Puiss_biomasse&gt;500,IF(ISBLANK($G$143),"A REMPLIR",""),"")</f>
        <v/>
      </c>
      <c r="K144" s="519" t="s">
        <v>28</v>
      </c>
      <c r="L144" s="520"/>
      <c r="M144" s="520"/>
      <c r="N144" s="520"/>
      <c r="O144" s="520"/>
      <c r="P144" s="520"/>
      <c r="Q144" s="518" t="str">
        <f>IF(H144&gt;500,"Vérifier valeurs PPA","")</f>
        <v/>
      </c>
      <c r="R144" s="518"/>
      <c r="S144" s="493"/>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2:84" ht="15" customHeight="1">
      <c r="B145" s="865" t="s">
        <v>148</v>
      </c>
      <c r="C145" s="865"/>
      <c r="D145" s="865"/>
      <c r="E145" s="866"/>
      <c r="F145" s="545" t="s">
        <v>145</v>
      </c>
      <c r="G145" s="385"/>
      <c r="H145" s="376"/>
      <c r="I145" s="522" t="str">
        <f>IF(G141="oui",IF(G145&lt;=H145,"","PPA non respecté"),IF(G145&gt;200,"Non éligible car supérieur à 200mg/Nm3",""))</f>
        <v/>
      </c>
      <c r="J145" s="518" t="str">
        <f>IF(Puiss_biomasse&gt;500,IF(ISBLANK($G$143),"A REMPLIR",""),"")</f>
        <v/>
      </c>
      <c r="K145" s="519" t="s">
        <v>28</v>
      </c>
      <c r="L145" s="520"/>
      <c r="M145" s="520"/>
      <c r="N145" s="520"/>
      <c r="O145" s="520"/>
      <c r="P145" s="520"/>
      <c r="Q145" s="518" t="str">
        <f>IF(H145&gt;200,"Vérifier valeurs PPA","")</f>
        <v/>
      </c>
      <c r="R145" s="518"/>
      <c r="S145" s="493"/>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2:84" ht="15" customHeight="1">
      <c r="B146" s="865" t="s">
        <v>149</v>
      </c>
      <c r="C146" s="865"/>
      <c r="D146" s="865"/>
      <c r="E146" s="866"/>
      <c r="F146" s="545" t="s">
        <v>150</v>
      </c>
      <c r="G146" s="385"/>
      <c r="H146" s="192"/>
      <c r="I146" s="374"/>
      <c r="J146" s="518"/>
      <c r="K146" s="520" t="s">
        <v>28</v>
      </c>
      <c r="L146" s="520"/>
      <c r="M146" s="520"/>
      <c r="N146" s="520"/>
      <c r="O146" s="520"/>
      <c r="P146" s="520"/>
      <c r="Q146" s="518"/>
      <c r="R146" s="518"/>
      <c r="S146" s="493"/>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2:84" ht="15" customHeight="1">
      <c r="B147" s="865" t="s">
        <v>151</v>
      </c>
      <c r="C147" s="865"/>
      <c r="D147" s="865"/>
      <c r="E147" s="866"/>
      <c r="F147" s="545" t="s">
        <v>150</v>
      </c>
      <c r="G147" s="386"/>
      <c r="H147" s="192"/>
      <c r="I147" s="546"/>
      <c r="J147" s="518"/>
      <c r="K147" s="520" t="s">
        <v>28</v>
      </c>
      <c r="L147" s="520"/>
      <c r="M147" s="520"/>
      <c r="N147" s="520"/>
      <c r="O147" s="520"/>
      <c r="P147" s="520"/>
      <c r="Q147" s="518"/>
      <c r="R147" s="518"/>
      <c r="S147" s="493"/>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2:84" ht="15" customHeight="1">
      <c r="B148" s="865" t="s">
        <v>152</v>
      </c>
      <c r="C148" s="865"/>
      <c r="D148" s="865"/>
      <c r="E148" s="866"/>
      <c r="F148" s="545" t="s">
        <v>150</v>
      </c>
      <c r="G148" s="386"/>
      <c r="H148" s="192"/>
      <c r="I148" s="546"/>
      <c r="J148" s="518"/>
      <c r="K148" s="520" t="s">
        <v>28</v>
      </c>
      <c r="L148" s="520"/>
      <c r="M148" s="520"/>
      <c r="N148" s="520"/>
      <c r="O148" s="520"/>
      <c r="P148" s="520"/>
      <c r="Q148" s="518"/>
      <c r="R148" s="518"/>
      <c r="S148" s="493"/>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2:84">
      <c r="B149" s="865" t="s">
        <v>153</v>
      </c>
      <c r="C149" s="865"/>
      <c r="D149" s="865"/>
      <c r="E149" s="866"/>
      <c r="F149" s="545" t="s">
        <v>150</v>
      </c>
      <c r="G149" s="386"/>
      <c r="H149" s="192"/>
      <c r="I149" s="546"/>
      <c r="J149" s="518"/>
      <c r="K149" s="520" t="s">
        <v>28</v>
      </c>
      <c r="L149" s="520"/>
      <c r="M149" s="520"/>
      <c r="N149" s="520"/>
      <c r="O149" s="520"/>
      <c r="P149" s="520"/>
      <c r="Q149" s="518"/>
      <c r="R149" s="518"/>
      <c r="S149" s="493"/>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2:84" ht="15" customHeight="1">
      <c r="B150" s="865" t="s">
        <v>154</v>
      </c>
      <c r="C150" s="865"/>
      <c r="D150" s="865"/>
      <c r="E150" s="866"/>
      <c r="F150" s="545" t="s">
        <v>150</v>
      </c>
      <c r="G150" s="386"/>
      <c r="H150" s="360" t="s">
        <v>155</v>
      </c>
      <c r="I150" s="359" t="str">
        <f>IF(OR(AND(G141="Non",G124&lt;500),MAX(G135:R135)&lt;70),"N/A",IF(Puiss_biomasse&gt;=1000,"ICPE",IF(MAX(G135:R135)&lt;300,MAX('Valeurs de reference'!H60,'Valeurs de reference'!E63+'Fiche projet biomasse'!G146,'Fiche projet biomasse'!G147+'Valeurs de reference'!F63,'Valeurs de reference'!G63+'Fiche projet biomasse'!G148,'Fiche projet biomasse'!G149+'Valeurs de reference'!H63),IF(MAX(G135:R135)&lt;500,MAX('Valeurs de reference'!H64,'Valeurs de reference'!E67+'Fiche projet biomasse'!G146,'Fiche projet biomasse'!G147+'Valeurs de reference'!F67,'Valeurs de reference'!G67+'Fiche projet biomasse'!G148,'Fiche projet biomasse'!G149+'Valeurs de reference'!H67),IF(MAX(G135:R135)&lt;1000,MAX('Valeurs de reference'!H68,'Valeurs de reference'!E71+'Fiche projet biomasse'!G146,'Fiche projet biomasse'!G147+'Valeurs de reference'!F71,'Valeurs de reference'!G71+'Fiche projet biomasse'!G148,'Fiche projet biomasse'!G149+'Valeurs de reference'!H71),"erreur")))))</f>
        <v>N/A</v>
      </c>
      <c r="J150" s="547" t="str">
        <f>IF(OR(Puiss_biomasse&gt;=1000,I150="N/A",I150="ICPE"),"",IF(G150&lt;I150,"Hauteur insuffisante à la dispersion",""))</f>
        <v/>
      </c>
      <c r="K150" s="520" t="s">
        <v>28</v>
      </c>
      <c r="L150" s="520"/>
      <c r="M150" s="520"/>
      <c r="N150" s="520"/>
      <c r="O150" s="520"/>
      <c r="P150" s="520"/>
      <c r="Q150" s="518"/>
      <c r="R150" s="518"/>
      <c r="S150" s="493"/>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2:84" ht="24.75" customHeight="1" thickBot="1">
      <c r="B151" s="865" t="s">
        <v>156</v>
      </c>
      <c r="C151" s="865"/>
      <c r="D151" s="865"/>
      <c r="E151" s="866"/>
      <c r="F151" s="538"/>
      <c r="G151" s="170"/>
      <c r="H151" s="539"/>
      <c r="I151" s="539"/>
      <c r="J151" s="539"/>
      <c r="K151" s="539"/>
      <c r="L151" s="539"/>
      <c r="M151" s="540"/>
      <c r="N151" s="541"/>
      <c r="O151" s="539"/>
      <c r="P151" s="539"/>
      <c r="Q151" s="539"/>
      <c r="R151" s="539"/>
      <c r="S151" s="493"/>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2:84" ht="15" customHeight="1" thickBot="1">
      <c r="B152" s="853" t="s">
        <v>157</v>
      </c>
      <c r="C152" s="854"/>
      <c r="D152" s="854"/>
      <c r="E152" s="854"/>
      <c r="F152" s="854"/>
      <c r="G152" s="854"/>
      <c r="H152" s="854"/>
      <c r="I152" s="854"/>
      <c r="J152" s="854"/>
      <c r="K152" s="854"/>
      <c r="L152" s="854"/>
      <c r="M152" s="855"/>
      <c r="N152" s="543"/>
      <c r="O152" s="543"/>
      <c r="P152" s="543"/>
      <c r="Q152" s="543"/>
      <c r="R152" s="543"/>
      <c r="S152" s="493"/>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2:84" ht="15" customHeight="1">
      <c r="B153" s="1056" t="s">
        <v>158</v>
      </c>
      <c r="C153" s="1057"/>
      <c r="D153" s="1057"/>
      <c r="E153" s="1057"/>
      <c r="F153" s="177"/>
      <c r="G153" s="548">
        <v>1</v>
      </c>
      <c r="H153" s="535">
        <v>2</v>
      </c>
      <c r="I153" s="535">
        <v>3</v>
      </c>
      <c r="J153" s="535">
        <v>4</v>
      </c>
      <c r="K153" s="535">
        <v>5</v>
      </c>
      <c r="L153" s="535">
        <v>6</v>
      </c>
      <c r="M153" s="549">
        <v>7</v>
      </c>
      <c r="N153" s="533">
        <v>8</v>
      </c>
      <c r="O153" s="534">
        <v>9</v>
      </c>
      <c r="P153" s="534">
        <v>10</v>
      </c>
      <c r="Q153" s="534">
        <v>11</v>
      </c>
      <c r="R153" s="534">
        <v>12</v>
      </c>
      <c r="S153" s="493"/>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2:84" ht="15" customHeight="1">
      <c r="B154" s="864" t="s">
        <v>159</v>
      </c>
      <c r="C154" s="865"/>
      <c r="D154" s="865"/>
      <c r="E154" s="866"/>
      <c r="F154" s="550"/>
      <c r="G154" s="178"/>
      <c r="H154" s="178"/>
      <c r="I154" s="178"/>
      <c r="J154" s="178"/>
      <c r="K154" s="178"/>
      <c r="L154" s="178"/>
      <c r="M154" s="179"/>
      <c r="N154" s="180"/>
      <c r="O154" s="178"/>
      <c r="P154" s="178"/>
      <c r="Q154" s="178"/>
      <c r="R154" s="178"/>
      <c r="S154" s="493"/>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2:84" ht="15" customHeight="1">
      <c r="B155" s="864" t="s">
        <v>160</v>
      </c>
      <c r="C155" s="865"/>
      <c r="D155" s="865"/>
      <c r="E155" s="866"/>
      <c r="F155" s="551" t="s">
        <v>85</v>
      </c>
      <c r="G155" s="209"/>
      <c r="H155" s="209"/>
      <c r="I155" s="209"/>
      <c r="J155" s="209"/>
      <c r="K155" s="209"/>
      <c r="L155" s="209"/>
      <c r="M155" s="210"/>
      <c r="N155" s="211"/>
      <c r="O155" s="209"/>
      <c r="P155" s="209"/>
      <c r="Q155" s="209"/>
      <c r="R155" s="209"/>
      <c r="S155" s="493"/>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2:84" ht="15" customHeight="1">
      <c r="B156" s="864" t="s">
        <v>137</v>
      </c>
      <c r="C156" s="865"/>
      <c r="D156" s="865"/>
      <c r="E156" s="866"/>
      <c r="F156" s="551" t="s">
        <v>138</v>
      </c>
      <c r="G156" s="209"/>
      <c r="H156" s="209"/>
      <c r="I156" s="209"/>
      <c r="J156" s="209"/>
      <c r="K156" s="209"/>
      <c r="L156" s="209"/>
      <c r="M156" s="210"/>
      <c r="N156" s="211"/>
      <c r="O156" s="209"/>
      <c r="P156" s="209"/>
      <c r="Q156" s="209"/>
      <c r="R156" s="209"/>
      <c r="S156" s="493"/>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2:84" ht="15" customHeight="1">
      <c r="B157" s="864" t="s">
        <v>161</v>
      </c>
      <c r="C157" s="865"/>
      <c r="D157" s="865"/>
      <c r="E157" s="866"/>
      <c r="F157" s="551" t="s">
        <v>138</v>
      </c>
      <c r="G157" s="209"/>
      <c r="H157" s="209"/>
      <c r="I157" s="209"/>
      <c r="J157" s="209"/>
      <c r="K157" s="209"/>
      <c r="L157" s="209"/>
      <c r="M157" s="210"/>
      <c r="N157" s="211"/>
      <c r="O157" s="209"/>
      <c r="P157" s="209"/>
      <c r="Q157" s="209"/>
      <c r="R157" s="209"/>
      <c r="S157" s="493"/>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2:84" ht="15" customHeight="1">
      <c r="B158" s="864" t="s">
        <v>162</v>
      </c>
      <c r="C158" s="865"/>
      <c r="D158" s="865"/>
      <c r="E158" s="866"/>
      <c r="F158" s="552" t="s">
        <v>163</v>
      </c>
      <c r="G158" s="209"/>
      <c r="H158" s="209"/>
      <c r="I158" s="209"/>
      <c r="J158" s="209"/>
      <c r="K158" s="209"/>
      <c r="L158" s="209"/>
      <c r="M158" s="209"/>
      <c r="N158" s="209"/>
      <c r="O158" s="209"/>
      <c r="P158" s="209"/>
      <c r="Q158" s="209"/>
      <c r="R158" s="209"/>
      <c r="S158" s="493"/>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2:84" ht="15" customHeight="1" thickBot="1">
      <c r="B159" s="861" t="s">
        <v>164</v>
      </c>
      <c r="C159" s="862"/>
      <c r="D159" s="862"/>
      <c r="E159" s="863"/>
      <c r="F159" s="552" t="s">
        <v>134</v>
      </c>
      <c r="G159" s="212"/>
      <c r="H159" s="212"/>
      <c r="I159" s="212"/>
      <c r="J159" s="212"/>
      <c r="K159" s="212"/>
      <c r="L159" s="212"/>
      <c r="M159" s="213"/>
      <c r="N159" s="211"/>
      <c r="O159" s="209"/>
      <c r="P159" s="209"/>
      <c r="Q159" s="209"/>
      <c r="R159" s="209"/>
      <c r="S159" s="493"/>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2:84" ht="15" customHeight="1" thickBot="1">
      <c r="B160" s="1052" t="s">
        <v>165</v>
      </c>
      <c r="C160" s="1053"/>
      <c r="D160" s="1053"/>
      <c r="E160" s="1053"/>
      <c r="F160" s="1053"/>
      <c r="G160" s="553" t="s">
        <v>166</v>
      </c>
      <c r="H160" s="1051" t="s">
        <v>167</v>
      </c>
      <c r="I160" s="1051"/>
      <c r="J160" s="1051"/>
      <c r="K160" s="1051"/>
      <c r="L160" s="1051"/>
      <c r="M160" s="554" t="s">
        <v>168</v>
      </c>
      <c r="N160" s="555"/>
      <c r="O160" s="456"/>
      <c r="P160" s="456"/>
      <c r="Q160" s="456"/>
      <c r="R160" s="456"/>
      <c r="S160" s="493"/>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customHeight="1">
      <c r="B161" s="1058" t="s">
        <v>169</v>
      </c>
      <c r="C161" s="1059"/>
      <c r="D161" s="1059"/>
      <c r="E161" s="1059"/>
      <c r="F161" s="387"/>
      <c r="G161" s="223"/>
      <c r="H161" s="850" t="s">
        <v>170</v>
      </c>
      <c r="I161" s="851"/>
      <c r="J161" s="851"/>
      <c r="K161" s="852"/>
      <c r="L161" s="394"/>
      <c r="M161" s="395" t="e">
        <f>SUM('Aide ratios'!E23:E26)+G157*G159+H157*H159+I157*I159+J157*J159+K157*K159+L157*L159+M157*M159+N157*N159+O157*O159+P157*P159+Q157*Q159+R157*R159</f>
        <v>#DIV/0!</v>
      </c>
      <c r="N161" s="555"/>
      <c r="O161" s="456"/>
      <c r="P161" s="456"/>
      <c r="Q161" s="456"/>
      <c r="R161" s="456"/>
      <c r="S161" s="493"/>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customHeight="1">
      <c r="B162" s="1017" t="s">
        <v>171</v>
      </c>
      <c r="C162" s="1018"/>
      <c r="D162" s="1018"/>
      <c r="E162" s="1018"/>
      <c r="F162" s="388"/>
      <c r="G162" s="1063"/>
      <c r="H162" s="847" t="s">
        <v>172</v>
      </c>
      <c r="I162" s="848"/>
      <c r="J162" s="848"/>
      <c r="K162" s="849"/>
      <c r="L162" s="396"/>
      <c r="M162" s="397" t="str">
        <f>'Aide ratios'!D16</f>
        <v/>
      </c>
      <c r="N162" s="556"/>
      <c r="O162" s="456"/>
      <c r="P162" s="456"/>
      <c r="Q162" s="456"/>
      <c r="R162" s="456"/>
      <c r="S162" s="493"/>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customHeight="1">
      <c r="B163" s="1017" t="s">
        <v>173</v>
      </c>
      <c r="C163" s="1018"/>
      <c r="D163" s="1018"/>
      <c r="E163" s="1018"/>
      <c r="F163" s="389"/>
      <c r="G163" s="1064"/>
      <c r="H163" s="847" t="s">
        <v>174</v>
      </c>
      <c r="I163" s="848"/>
      <c r="J163" s="848"/>
      <c r="K163" s="849"/>
      <c r="L163" s="396"/>
      <c r="M163" s="397" t="str">
        <f>'Aide ratios'!E16</f>
        <v/>
      </c>
      <c r="N163" s="555"/>
      <c r="O163" s="456"/>
      <c r="P163" s="456"/>
      <c r="Q163" s="456"/>
      <c r="R163" s="456"/>
      <c r="S163" s="493"/>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customHeight="1" thickBot="1">
      <c r="B164" s="1017" t="s">
        <v>175</v>
      </c>
      <c r="C164" s="1018"/>
      <c r="D164" s="1018"/>
      <c r="E164" s="1018"/>
      <c r="F164" s="390"/>
      <c r="G164" s="1064"/>
      <c r="H164" s="847" t="s">
        <v>176</v>
      </c>
      <c r="I164" s="848"/>
      <c r="J164" s="848"/>
      <c r="K164" s="849"/>
      <c r="L164" s="396"/>
      <c r="M164" s="397" t="str">
        <f>'Aide ratios'!F16</f>
        <v/>
      </c>
      <c r="N164" s="555"/>
      <c r="O164" s="456"/>
      <c r="P164" s="456"/>
      <c r="Q164" s="456"/>
      <c r="R164" s="456"/>
      <c r="S164" s="493"/>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customHeight="1" thickBot="1">
      <c r="B165" s="1035" t="s">
        <v>177</v>
      </c>
      <c r="C165" s="1036"/>
      <c r="D165" s="1036"/>
      <c r="E165" s="1036"/>
      <c r="F165" s="391"/>
      <c r="G165" s="1065"/>
      <c r="H165" s="1034" t="s">
        <v>74</v>
      </c>
      <c r="I165" s="1034"/>
      <c r="J165" s="1034"/>
      <c r="K165" s="1034"/>
      <c r="L165" s="398">
        <f>SUM(L161:L164)</f>
        <v>0</v>
      </c>
      <c r="M165" s="399" t="e">
        <f>SUM(M161:M164)</f>
        <v>#DIV/0!</v>
      </c>
      <c r="N165" s="352"/>
      <c r="O165" s="456"/>
      <c r="P165" s="456"/>
      <c r="Q165" s="1"/>
      <c r="R165" s="1"/>
      <c r="S165" s="493"/>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customHeight="1">
      <c r="B166" s="1017" t="s">
        <v>178</v>
      </c>
      <c r="C166" s="1018"/>
      <c r="D166" s="1018"/>
      <c r="E166" s="1018"/>
      <c r="F166" s="388"/>
      <c r="G166" s="1037"/>
      <c r="H166" s="1073" t="s">
        <v>179</v>
      </c>
      <c r="I166" s="1074"/>
      <c r="J166" s="1074"/>
      <c r="K166" s="1074"/>
      <c r="L166" s="1074"/>
      <c r="M166" s="1075"/>
      <c r="N166" s="352"/>
      <c r="O166" s="456"/>
      <c r="P166" s="456"/>
      <c r="Q166" s="1"/>
      <c r="R166" s="1"/>
      <c r="S166" s="493"/>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customHeight="1">
      <c r="B167" s="1035" t="s">
        <v>180</v>
      </c>
      <c r="C167" s="1036"/>
      <c r="D167" s="1036"/>
      <c r="E167" s="1036"/>
      <c r="F167" s="391"/>
      <c r="G167" s="1038"/>
      <c r="H167" s="557"/>
      <c r="I167" s="557"/>
      <c r="J167" s="557"/>
      <c r="K167" s="557"/>
      <c r="L167" s="557"/>
      <c r="M167" s="558"/>
      <c r="N167" s="352"/>
      <c r="O167" s="456"/>
      <c r="P167" s="456"/>
      <c r="Q167" s="1"/>
      <c r="R167" s="1"/>
      <c r="S167" s="493"/>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customHeight="1">
      <c r="B168" s="1066" t="s">
        <v>181</v>
      </c>
      <c r="C168" s="1067"/>
      <c r="D168" s="1067"/>
      <c r="E168" s="1067"/>
      <c r="F168" s="392"/>
      <c r="G168" s="295"/>
      <c r="H168" s="557"/>
      <c r="I168" s="557"/>
      <c r="J168" s="557"/>
      <c r="K168" s="557"/>
      <c r="L168" s="557"/>
      <c r="M168" s="558"/>
      <c r="N168" s="352"/>
      <c r="O168" s="456"/>
      <c r="P168" s="456"/>
      <c r="Q168" s="352"/>
      <c r="R168" s="352"/>
      <c r="S168" s="493"/>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customHeight="1">
      <c r="B169" s="1066" t="s">
        <v>182</v>
      </c>
      <c r="C169" s="1067"/>
      <c r="D169" s="1067"/>
      <c r="E169" s="1067" t="s">
        <v>183</v>
      </c>
      <c r="F169" s="392"/>
      <c r="G169" s="295"/>
      <c r="H169" s="557"/>
      <c r="I169" s="557"/>
      <c r="J169" s="557"/>
      <c r="K169" s="557"/>
      <c r="L169" s="557"/>
      <c r="M169" s="558"/>
      <c r="N169" s="352"/>
      <c r="O169" s="456"/>
      <c r="P169" s="456"/>
      <c r="Q169" s="1"/>
      <c r="R169" s="1"/>
      <c r="S169" s="493"/>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customHeight="1">
      <c r="B170" s="1066" t="s">
        <v>184</v>
      </c>
      <c r="C170" s="1067"/>
      <c r="D170" s="1067"/>
      <c r="E170" s="1067" t="s">
        <v>183</v>
      </c>
      <c r="F170" s="392"/>
      <c r="G170" s="295"/>
      <c r="H170" s="557"/>
      <c r="I170" s="557"/>
      <c r="J170" s="557"/>
      <c r="K170" s="557"/>
      <c r="L170" s="557"/>
      <c r="M170" s="558"/>
      <c r="N170" s="352"/>
      <c r="O170" s="456"/>
      <c r="P170" s="456"/>
      <c r="Q170" s="1"/>
      <c r="R170" s="1"/>
      <c r="S170" s="493"/>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customHeight="1">
      <c r="B171" s="1066" t="s">
        <v>185</v>
      </c>
      <c r="C171" s="1067"/>
      <c r="D171" s="1067"/>
      <c r="E171" s="1067" t="s">
        <v>183</v>
      </c>
      <c r="F171" s="392"/>
      <c r="G171" s="295"/>
      <c r="H171" s="557"/>
      <c r="I171" s="557"/>
      <c r="J171" s="557"/>
      <c r="K171" s="557"/>
      <c r="L171" s="557"/>
      <c r="M171" s="558"/>
      <c r="N171" s="352"/>
      <c r="O171" s="456"/>
      <c r="P171" s="456"/>
      <c r="Q171" s="1"/>
      <c r="R171" s="1"/>
      <c r="S171" s="493"/>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customHeight="1">
      <c r="B172" s="1066" t="s">
        <v>186</v>
      </c>
      <c r="C172" s="1067"/>
      <c r="D172" s="1067"/>
      <c r="E172" s="1067" t="s">
        <v>183</v>
      </c>
      <c r="F172" s="392"/>
      <c r="G172" s="295"/>
      <c r="H172" s="557"/>
      <c r="I172" s="557"/>
      <c r="J172" s="557"/>
      <c r="K172" s="557"/>
      <c r="L172" s="557"/>
      <c r="M172" s="558"/>
      <c r="N172" s="352"/>
      <c r="O172" s="456"/>
      <c r="P172" s="456"/>
      <c r="Q172" s="1"/>
      <c r="R172" s="1"/>
      <c r="S172" s="493"/>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s="562" customFormat="1" ht="15" thickBot="1">
      <c r="A173" s="559"/>
      <c r="B173" s="1054" t="s">
        <v>187</v>
      </c>
      <c r="C173" s="1055"/>
      <c r="D173" s="1055"/>
      <c r="E173" s="1055"/>
      <c r="F173" s="389"/>
      <c r="G173" s="296"/>
      <c r="H173" s="560"/>
      <c r="I173" s="560"/>
      <c r="J173" s="560"/>
      <c r="K173" s="560"/>
      <c r="L173" s="560"/>
      <c r="M173" s="561"/>
      <c r="N173" s="1"/>
      <c r="O173" s="456"/>
      <c r="P173" s="456"/>
      <c r="Q173" s="1"/>
      <c r="R173" s="1"/>
      <c r="S173" s="493"/>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s="562" customFormat="1" ht="15" thickBot="1">
      <c r="A174" s="559"/>
      <c r="B174" s="1060" t="s">
        <v>74</v>
      </c>
      <c r="C174" s="1061"/>
      <c r="D174" s="1061"/>
      <c r="E174" s="1062"/>
      <c r="F174" s="393">
        <f>SUM(F161:F173)</f>
        <v>0</v>
      </c>
      <c r="G174" s="198"/>
      <c r="H174" s="731" t="s">
        <v>801</v>
      </c>
      <c r="I174" s="732">
        <f>F174-F166</f>
        <v>0</v>
      </c>
      <c r="J174" s="560"/>
      <c r="K174" s="560"/>
      <c r="L174" s="560"/>
      <c r="M174" s="561"/>
      <c r="N174" s="196"/>
      <c r="O174" s="196"/>
      <c r="P174" s="456"/>
      <c r="Q174" s="1"/>
      <c r="R174" s="1"/>
      <c r="S174" s="493"/>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c r="B175" s="456"/>
      <c r="C175" s="456"/>
      <c r="D175" s="456"/>
      <c r="E175" s="456"/>
      <c r="F175" s="456"/>
      <c r="G175" s="196"/>
      <c r="H175" s="196"/>
      <c r="I175" s="196"/>
      <c r="J175" s="196"/>
      <c r="K175" s="196"/>
      <c r="L175" s="1"/>
      <c r="M175" s="1"/>
      <c r="N175" s="1"/>
      <c r="O175" s="456"/>
      <c r="P175" s="456"/>
      <c r="Q175" s="1"/>
      <c r="R175" s="1"/>
      <c r="S175" s="493"/>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c r="B176" s="456"/>
      <c r="C176" s="456"/>
      <c r="D176" s="456"/>
      <c r="E176" s="456"/>
      <c r="G176" s="196"/>
      <c r="H176" s="196"/>
      <c r="I176" s="196"/>
      <c r="J176" s="196"/>
      <c r="K176" s="196"/>
      <c r="L176" s="1"/>
      <c r="M176" s="1"/>
      <c r="N176" s="1"/>
      <c r="O176" s="456"/>
      <c r="P176" s="456"/>
      <c r="Q176" s="1"/>
      <c r="R176" s="1"/>
      <c r="S176" s="493"/>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2:84" ht="15" thickBot="1">
      <c r="B177" s="456"/>
      <c r="C177" s="456"/>
      <c r="D177" s="456"/>
      <c r="E177" s="456"/>
      <c r="F177" s="456"/>
      <c r="G177" s="196"/>
      <c r="H177" s="196"/>
      <c r="I177" s="196"/>
      <c r="J177" s="196"/>
      <c r="K177" s="196"/>
      <c r="L177" s="1"/>
      <c r="M177" s="1"/>
      <c r="N177" s="563"/>
      <c r="O177" s="456"/>
      <c r="P177" s="456"/>
      <c r="Q177" s="563"/>
      <c r="R177" s="563"/>
      <c r="S177" s="493"/>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2:84" ht="23.25" customHeight="1" thickBot="1">
      <c r="B178" s="881" t="s">
        <v>23</v>
      </c>
      <c r="C178" s="882"/>
      <c r="D178" s="882"/>
      <c r="E178" s="882"/>
      <c r="F178" s="882"/>
      <c r="G178" s="882"/>
      <c r="H178" s="882"/>
      <c r="I178" s="882"/>
      <c r="J178" s="882"/>
      <c r="K178" s="882"/>
      <c r="L178" s="882"/>
      <c r="M178" s="1004"/>
      <c r="N178" s="1"/>
      <c r="O178" s="1"/>
      <c r="P178" s="1"/>
      <c r="Q178" s="1"/>
      <c r="R178" s="1"/>
      <c r="S178" s="434"/>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2:84" ht="38.25" customHeight="1" thickBot="1">
      <c r="B179" s="953" t="s">
        <v>188</v>
      </c>
      <c r="C179" s="954"/>
      <c r="D179" s="445" t="s">
        <v>189</v>
      </c>
      <c r="E179" s="564" t="s">
        <v>190</v>
      </c>
      <c r="F179" s="564" t="s">
        <v>191</v>
      </c>
      <c r="G179" s="564" t="s">
        <v>192</v>
      </c>
      <c r="H179" s="361" t="s">
        <v>193</v>
      </c>
      <c r="I179" s="565"/>
      <c r="J179" s="565"/>
      <c r="K179" s="565"/>
      <c r="L179" s="566"/>
      <c r="M179" s="567"/>
      <c r="N179" s="1"/>
      <c r="O179" s="1"/>
      <c r="P179" s="1"/>
      <c r="Q179" s="1"/>
      <c r="R179" s="1"/>
      <c r="S179" s="434"/>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2:84" ht="15" customHeight="1">
      <c r="B180" s="939" t="s">
        <v>194</v>
      </c>
      <c r="C180" s="939"/>
      <c r="D180" s="181"/>
      <c r="E180" s="568" t="e">
        <f>E206*D180</f>
        <v>#DIV/0!</v>
      </c>
      <c r="F180" s="566"/>
      <c r="G180" s="566"/>
      <c r="H180" s="566"/>
      <c r="I180" s="565"/>
      <c r="J180" s="565"/>
      <c r="K180" s="565"/>
      <c r="L180" s="566"/>
      <c r="M180" s="567"/>
      <c r="N180" s="1"/>
      <c r="O180" s="1"/>
      <c r="P180" s="1"/>
      <c r="Q180" s="1"/>
      <c r="R180" s="1"/>
      <c r="S180" s="434"/>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2:84" ht="15" customHeight="1">
      <c r="B181" s="1100" t="s">
        <v>195</v>
      </c>
      <c r="C181" s="1101"/>
      <c r="D181" s="1101"/>
      <c r="E181" s="1102"/>
      <c r="F181" s="569">
        <f>IF(D182&gt;0,(D182*F182/D199+D183*F183/D199+D184*F184/D199+D185*F185/D199),0)</f>
        <v>0</v>
      </c>
      <c r="G181" s="181"/>
      <c r="H181" s="566"/>
      <c r="I181" s="565"/>
      <c r="J181" s="565"/>
      <c r="K181" s="565"/>
      <c r="L181" s="566"/>
      <c r="M181" s="567"/>
      <c r="N181" s="1"/>
      <c r="O181" s="1"/>
      <c r="P181" s="1"/>
      <c r="Q181" s="1"/>
      <c r="R181" s="1"/>
      <c r="S181" s="434"/>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2:84" ht="15" customHeight="1">
      <c r="B182" s="925" t="s">
        <v>196</v>
      </c>
      <c r="C182" s="926"/>
      <c r="D182" s="181"/>
      <c r="E182" s="568" t="e">
        <f>D182*$E$206</f>
        <v>#DIV/0!</v>
      </c>
      <c r="F182" s="570">
        <f>IF(D182&gt;0,VLOOKUP(B182,'Valeurs de reference'!$D$92:$E$106,2,FALSE)/2,0)</f>
        <v>0</v>
      </c>
      <c r="G182" s="303"/>
      <c r="H182" s="566"/>
      <c r="I182" s="565"/>
      <c r="J182" s="565"/>
      <c r="K182" s="565"/>
      <c r="L182" s="566"/>
      <c r="M182" s="567"/>
      <c r="N182" s="1"/>
      <c r="O182" s="1"/>
      <c r="P182" s="1"/>
      <c r="Q182" s="1"/>
      <c r="R182" s="1"/>
      <c r="S182" s="434"/>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2:84" ht="15" customHeight="1">
      <c r="B183" s="925" t="s">
        <v>197</v>
      </c>
      <c r="C183" s="926"/>
      <c r="D183" s="181"/>
      <c r="E183" s="568" t="e">
        <f>D183*$E$206</f>
        <v>#DIV/0!</v>
      </c>
      <c r="F183" s="570">
        <f>IF(D183&gt;0,VLOOKUP(B183,'Valeurs de reference'!$D$92:$E$106,2,FALSE)/2,0)</f>
        <v>0</v>
      </c>
      <c r="G183" s="303"/>
      <c r="H183" s="566"/>
      <c r="I183" s="565"/>
      <c r="J183" s="565"/>
      <c r="K183" s="565"/>
      <c r="L183" s="566"/>
      <c r="M183" s="567"/>
      <c r="N183" s="1"/>
      <c r="O183" s="1"/>
      <c r="P183" s="1"/>
      <c r="Q183" s="1"/>
      <c r="R183" s="1"/>
      <c r="S183" s="434"/>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2:84" ht="15" customHeight="1">
      <c r="B184" s="925" t="s">
        <v>198</v>
      </c>
      <c r="C184" s="926"/>
      <c r="D184" s="181"/>
      <c r="E184" s="568" t="e">
        <f t="shared" ref="E184:E185" si="15">D184*$E$206</f>
        <v>#DIV/0!</v>
      </c>
      <c r="F184" s="570">
        <f>IF(D184&gt;0,VLOOKUP(B184,'Valeurs de reference'!$D$92:$E$106,2,FALSE)/2,0)</f>
        <v>0</v>
      </c>
      <c r="G184" s="303"/>
      <c r="H184" s="566"/>
      <c r="I184" s="565"/>
      <c r="J184" s="565"/>
      <c r="K184" s="565"/>
      <c r="L184" s="566"/>
      <c r="M184" s="567"/>
      <c r="N184" s="1"/>
      <c r="O184" s="1"/>
      <c r="P184" s="1"/>
      <c r="Q184" s="1"/>
      <c r="R184" s="1"/>
      <c r="S184" s="434"/>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2:84" ht="15" customHeight="1">
      <c r="B185" s="925" t="s">
        <v>199</v>
      </c>
      <c r="C185" s="926"/>
      <c r="D185" s="181"/>
      <c r="E185" s="568" t="e">
        <f t="shared" si="15"/>
        <v>#DIV/0!</v>
      </c>
      <c r="F185" s="570">
        <f>IF(D185&gt;0,VLOOKUP(B185,'Valeurs de reference'!$D$92:$E$106,2,FALSE)/2,0)</f>
        <v>0</v>
      </c>
      <c r="G185" s="303"/>
      <c r="H185" s="566"/>
      <c r="I185" s="565"/>
      <c r="J185" s="565"/>
      <c r="K185" s="565"/>
      <c r="L185" s="566"/>
      <c r="M185" s="567"/>
      <c r="N185" s="1"/>
      <c r="O185" s="1"/>
      <c r="P185" s="1"/>
      <c r="Q185" s="1"/>
      <c r="R185" s="1"/>
      <c r="S185" s="434"/>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2:84" ht="15" customHeight="1">
      <c r="B186" s="1100" t="s">
        <v>200</v>
      </c>
      <c r="C186" s="1101"/>
      <c r="D186" s="1101"/>
      <c r="E186" s="1102"/>
      <c r="F186" s="569">
        <f>IF(D187&gt;0,(D187*F187/D204+D188*F188/D204+D189*F189/D204+D190*F190/D204),0)</f>
        <v>0</v>
      </c>
      <c r="G186" s="181"/>
      <c r="H186" s="566"/>
      <c r="I186" s="565"/>
      <c r="J186" s="565"/>
      <c r="K186" s="565"/>
      <c r="L186" s="566"/>
      <c r="M186" s="567"/>
      <c r="N186" s="1"/>
      <c r="O186" s="1"/>
      <c r="P186" s="1"/>
      <c r="Q186" s="1"/>
      <c r="R186" s="1"/>
      <c r="S186" s="434"/>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2:84" ht="15" customHeight="1">
      <c r="B187" s="925" t="s">
        <v>196</v>
      </c>
      <c r="C187" s="926"/>
      <c r="D187" s="304"/>
      <c r="E187" s="568" t="e">
        <f>D187*$E$206</f>
        <v>#DIV/0!</v>
      </c>
      <c r="F187" s="570">
        <f>IF(D187&gt;0,VLOOKUP(B187,'Valeurs de reference'!D92:F106,3,FALSE),0)</f>
        <v>0</v>
      </c>
      <c r="G187" s="303"/>
      <c r="H187" s="566"/>
      <c r="I187" s="565"/>
      <c r="J187" s="565"/>
      <c r="K187" s="565"/>
      <c r="L187" s="566"/>
      <c r="M187" s="567"/>
      <c r="N187" s="1"/>
      <c r="O187" s="1"/>
      <c r="P187" s="1"/>
      <c r="Q187" s="1"/>
      <c r="R187" s="1"/>
      <c r="S187" s="434"/>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2:84" ht="15" customHeight="1">
      <c r="B188" s="925" t="s">
        <v>201</v>
      </c>
      <c r="C188" s="926"/>
      <c r="D188" s="304"/>
      <c r="E188" s="568" t="e">
        <f t="shared" ref="E188:E190" si="16">D188*$E$206</f>
        <v>#DIV/0!</v>
      </c>
      <c r="F188" s="570">
        <f>IF(D188&gt;0,VLOOKUP(B188,'Valeurs de reference'!D93:F107,3,FALSE),0)</f>
        <v>0</v>
      </c>
      <c r="G188" s="303"/>
      <c r="H188" s="566"/>
      <c r="I188" s="565"/>
      <c r="J188" s="565"/>
      <c r="K188" s="565"/>
      <c r="L188" s="566"/>
      <c r="M188" s="567"/>
      <c r="N188" s="1"/>
      <c r="O188" s="1"/>
      <c r="P188" s="1"/>
      <c r="Q188" s="1"/>
      <c r="R188" s="1"/>
      <c r="S188" s="434"/>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2:84" ht="15" customHeight="1">
      <c r="B189" s="925" t="s">
        <v>198</v>
      </c>
      <c r="C189" s="926"/>
      <c r="D189" s="304"/>
      <c r="E189" s="568" t="e">
        <f t="shared" si="16"/>
        <v>#DIV/0!</v>
      </c>
      <c r="F189" s="570">
        <f>IF(D189&gt;0,VLOOKUP(B189,'Valeurs de reference'!D94:F108,3,FALSE),0)</f>
        <v>0</v>
      </c>
      <c r="G189" s="303"/>
      <c r="H189" s="1087" t="s">
        <v>202</v>
      </c>
      <c r="I189" s="1087"/>
      <c r="J189" s="1087"/>
      <c r="K189" s="1087"/>
      <c r="L189" s="1087"/>
      <c r="M189" s="1088"/>
      <c r="N189" s="1"/>
      <c r="O189" s="1"/>
      <c r="P189" s="1"/>
      <c r="Q189" s="1"/>
      <c r="R189" s="1"/>
      <c r="S189" s="434"/>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2:84" ht="15" customHeight="1">
      <c r="B190" s="925" t="s">
        <v>199</v>
      </c>
      <c r="C190" s="926"/>
      <c r="D190" s="304"/>
      <c r="E190" s="568" t="e">
        <f t="shared" si="16"/>
        <v>#DIV/0!</v>
      </c>
      <c r="F190" s="570">
        <f>IF(D190&gt;0,VLOOKUP(B190,'Valeurs de reference'!D95:F109,3,FALSE),0)</f>
        <v>0</v>
      </c>
      <c r="G190" s="303"/>
      <c r="H190" s="566" t="s">
        <v>203</v>
      </c>
      <c r="I190" s="565"/>
      <c r="J190" s="159"/>
      <c r="K190" s="565"/>
      <c r="L190" s="566"/>
      <c r="M190" s="567"/>
      <c r="N190" s="1"/>
      <c r="O190" s="1"/>
      <c r="P190" s="1"/>
      <c r="Q190" s="1"/>
      <c r="R190" s="1"/>
      <c r="S190" s="434"/>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2:84" ht="15" customHeight="1">
      <c r="B191" s="1100" t="s">
        <v>204</v>
      </c>
      <c r="C191" s="1101"/>
      <c r="D191" s="1101"/>
      <c r="E191" s="1102"/>
      <c r="F191" s="199"/>
      <c r="G191" s="566"/>
      <c r="H191" s="566" t="s">
        <v>205</v>
      </c>
      <c r="I191" s="565"/>
      <c r="J191" s="159"/>
      <c r="K191" s="565"/>
      <c r="L191" s="566"/>
      <c r="M191" s="567"/>
      <c r="N191" s="1"/>
      <c r="O191" s="1"/>
      <c r="P191" s="1"/>
      <c r="Q191" s="1"/>
      <c r="R191" s="1"/>
      <c r="S191" s="434"/>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2:84" ht="15" customHeight="1">
      <c r="B192" s="925" t="s">
        <v>196</v>
      </c>
      <c r="C192" s="926"/>
      <c r="D192" s="181"/>
      <c r="E192" s="568" t="e">
        <f>D192*$E$206</f>
        <v>#DIV/0!</v>
      </c>
      <c r="F192" s="199"/>
      <c r="G192" s="566"/>
      <c r="H192" s="566"/>
      <c r="I192" s="565"/>
      <c r="J192" s="565"/>
      <c r="K192" s="565"/>
      <c r="L192" s="566"/>
      <c r="M192" s="567"/>
      <c r="N192" s="1"/>
      <c r="O192" s="1"/>
      <c r="P192" s="1"/>
      <c r="Q192" s="1"/>
      <c r="R192" s="1"/>
      <c r="S192" s="434"/>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customHeight="1">
      <c r="B193" s="925" t="s">
        <v>206</v>
      </c>
      <c r="C193" s="926"/>
      <c r="D193" s="181"/>
      <c r="E193" s="568" t="e">
        <f t="shared" ref="E193:E197" si="17">D193*$E$206</f>
        <v>#DIV/0!</v>
      </c>
      <c r="F193" s="199"/>
      <c r="G193" s="566"/>
      <c r="H193" s="566"/>
      <c r="I193" s="565"/>
      <c r="J193" s="565"/>
      <c r="K193" s="565"/>
      <c r="L193" s="566"/>
      <c r="M193" s="567"/>
      <c r="N193" s="1"/>
      <c r="O193" s="1"/>
      <c r="P193" s="1"/>
      <c r="Q193" s="1"/>
      <c r="R193" s="1"/>
      <c r="S193" s="434"/>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customHeight="1">
      <c r="B194" s="925" t="s">
        <v>198</v>
      </c>
      <c r="C194" s="926"/>
      <c r="D194" s="181"/>
      <c r="E194" s="568" t="e">
        <f t="shared" si="17"/>
        <v>#DIV/0!</v>
      </c>
      <c r="F194" s="199"/>
      <c r="G194" s="566"/>
      <c r="H194" s="566"/>
      <c r="I194" s="565"/>
      <c r="J194" s="565"/>
      <c r="K194" s="565"/>
      <c r="L194" s="566"/>
      <c r="M194" s="567"/>
      <c r="N194" s="1"/>
      <c r="O194" s="1"/>
      <c r="P194" s="1"/>
      <c r="Q194" s="1"/>
      <c r="R194" s="1"/>
      <c r="S194" s="434"/>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c r="B195" s="925" t="s">
        <v>199</v>
      </c>
      <c r="C195" s="926"/>
      <c r="D195" s="181"/>
      <c r="E195" s="568" t="e">
        <f t="shared" si="17"/>
        <v>#DIV/0!</v>
      </c>
      <c r="F195" s="199"/>
      <c r="G195" s="566"/>
      <c r="H195" s="566"/>
      <c r="I195" s="565"/>
      <c r="J195" s="565"/>
      <c r="K195" s="565"/>
      <c r="L195" s="566"/>
      <c r="M195" s="567"/>
      <c r="N195" s="1"/>
      <c r="O195" s="1"/>
      <c r="P195" s="1"/>
      <c r="Q195" s="1"/>
      <c r="R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c r="B196" s="939" t="s">
        <v>207</v>
      </c>
      <c r="C196" s="939"/>
      <c r="D196" s="224"/>
      <c r="E196" s="568" t="e">
        <f t="shared" si="17"/>
        <v>#DIV/0!</v>
      </c>
      <c r="F196" s="199"/>
      <c r="G196" s="566"/>
      <c r="H196" s="566"/>
      <c r="I196" s="566"/>
      <c r="J196" s="565"/>
      <c r="K196" s="565"/>
      <c r="L196" s="566"/>
      <c r="M196" s="567"/>
      <c r="N196" s="1"/>
      <c r="O196" s="1"/>
      <c r="P196" s="1"/>
      <c r="Q196" s="1"/>
      <c r="R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33.75" customHeight="1">
      <c r="B197" s="827" t="s">
        <v>208</v>
      </c>
      <c r="C197" s="827"/>
      <c r="D197" s="703">
        <f>IFERROR(SUM(D180:D185,D187:D190,D192:D196),"0")</f>
        <v>0</v>
      </c>
      <c r="E197" s="568" t="e">
        <f t="shared" si="17"/>
        <v>#DIV/0!</v>
      </c>
      <c r="F197" s="566"/>
      <c r="G197" s="566"/>
      <c r="H197" s="566"/>
      <c r="I197" s="566"/>
      <c r="J197" s="565"/>
      <c r="K197" s="565"/>
      <c r="L197" s="566"/>
      <c r="M197" s="567"/>
      <c r="N197" s="1"/>
      <c r="O197" s="1"/>
      <c r="P197" s="1"/>
      <c r="Q197" s="1"/>
      <c r="R197" s="1"/>
      <c r="S197" s="434"/>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25.5" customHeight="1">
      <c r="B198" s="1109" t="s">
        <v>209</v>
      </c>
      <c r="C198" s="1110"/>
      <c r="D198" s="1110"/>
      <c r="E198" s="1110"/>
      <c r="F198" s="1110"/>
      <c r="G198" s="571"/>
      <c r="H198" s="571"/>
      <c r="I198" s="571"/>
      <c r="J198" s="571"/>
      <c r="K198" s="572"/>
      <c r="L198" s="573"/>
      <c r="M198" s="574"/>
      <c r="N198" s="1"/>
      <c r="O198" s="1"/>
      <c r="P198" s="1"/>
      <c r="Q198" s="1"/>
      <c r="R198" s="1"/>
      <c r="S198" s="434"/>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c r="A199" s="719" t="s">
        <v>576</v>
      </c>
      <c r="B199" s="823" t="s">
        <v>210</v>
      </c>
      <c r="C199" s="823"/>
      <c r="D199" s="575">
        <f>SUM(D182:D185)</f>
        <v>0</v>
      </c>
      <c r="E199" s="568" t="e">
        <f t="shared" ref="E199:E204" si="18">($E$206-$E$180)*D199</f>
        <v>#DIV/0!</v>
      </c>
      <c r="F199" s="570">
        <f>F181</f>
        <v>0</v>
      </c>
      <c r="G199" s="570">
        <f>G181</f>
        <v>0</v>
      </c>
      <c r="H199" s="571"/>
      <c r="I199" s="576"/>
      <c r="J199" s="576"/>
      <c r="K199" s="576"/>
      <c r="L199" s="577"/>
      <c r="M199" s="567"/>
      <c r="N199" s="1"/>
      <c r="O199" s="1"/>
      <c r="P199" s="1"/>
      <c r="Q199" s="1"/>
      <c r="R199" s="1"/>
      <c r="S199" s="434"/>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c r="A200" s="719" t="s">
        <v>211</v>
      </c>
      <c r="B200" s="823" t="s">
        <v>212</v>
      </c>
      <c r="C200" s="823"/>
      <c r="D200" s="225"/>
      <c r="E200" s="568" t="e">
        <f t="shared" si="18"/>
        <v>#DIV/0!</v>
      </c>
      <c r="F200" s="578" t="str">
        <f>IF(D200&gt;0,"Vérifier respect d'un éventeuil seuil de certification selon la DR","")</f>
        <v/>
      </c>
      <c r="G200" s="566"/>
      <c r="H200" s="571"/>
      <c r="I200" s="576"/>
      <c r="J200" s="576"/>
      <c r="K200" s="576"/>
      <c r="L200" s="577"/>
      <c r="M200" s="567"/>
      <c r="N200" s="1"/>
      <c r="O200" s="1"/>
      <c r="P200" s="1"/>
      <c r="Q200" s="1"/>
      <c r="R200" s="1"/>
      <c r="S200" s="434"/>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c r="A201" s="719" t="s">
        <v>213</v>
      </c>
      <c r="B201" s="823" t="s">
        <v>214</v>
      </c>
      <c r="C201" s="823"/>
      <c r="D201" s="225"/>
      <c r="E201" s="568" t="e">
        <f t="shared" si="18"/>
        <v>#DIV/0!</v>
      </c>
      <c r="F201" s="578"/>
      <c r="G201" s="566"/>
      <c r="H201" s="571"/>
      <c r="I201" s="576"/>
      <c r="J201" s="576"/>
      <c r="K201" s="576"/>
      <c r="L201" s="577"/>
      <c r="M201" s="567"/>
      <c r="N201" s="1"/>
      <c r="O201" s="1"/>
      <c r="P201" s="1"/>
      <c r="Q201" s="1"/>
      <c r="R201" s="1"/>
      <c r="S201" s="434"/>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customHeight="1">
      <c r="A202" s="719"/>
      <c r="B202" s="823" t="s">
        <v>216</v>
      </c>
      <c r="C202" s="823"/>
      <c r="D202" s="225"/>
      <c r="E202" s="568" t="e">
        <f t="shared" si="18"/>
        <v>#DIV/0!</v>
      </c>
      <c r="F202" s="579"/>
      <c r="G202" s="566"/>
      <c r="H202" s="566"/>
      <c r="I202" s="580"/>
      <c r="J202" s="581"/>
      <c r="K202" s="565"/>
      <c r="L202" s="9"/>
      <c r="M202" s="567"/>
      <c r="N202" s="1"/>
      <c r="O202" s="1"/>
      <c r="P202" s="1"/>
      <c r="Q202" s="1"/>
      <c r="R202" s="1"/>
      <c r="S202" s="434"/>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25.5" customHeight="1">
      <c r="A203" s="720" t="s">
        <v>217</v>
      </c>
      <c r="B203" s="823" t="s">
        <v>218</v>
      </c>
      <c r="C203" s="823"/>
      <c r="D203" s="225"/>
      <c r="E203" s="568" t="e">
        <f t="shared" si="18"/>
        <v>#DIV/0!</v>
      </c>
      <c r="F203" s="936" t="str">
        <f>IF(D203&lt;&gt;0, "Catégorie 3A ? (bois d'emballage en fin de vie ayant fait l'objet d'une sortie de statut des déchets)","")</f>
        <v/>
      </c>
      <c r="G203" s="937"/>
      <c r="H203" s="208" t="s">
        <v>108</v>
      </c>
      <c r="I203" s="580"/>
      <c r="J203" s="581"/>
      <c r="K203" s="565"/>
      <c r="L203" s="9"/>
      <c r="M203" s="567"/>
      <c r="N203" s="1"/>
      <c r="O203" s="1"/>
      <c r="P203" s="1"/>
      <c r="Q203" s="1"/>
      <c r="R203" s="1"/>
      <c r="S203" s="434"/>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customHeight="1">
      <c r="A204" s="702" t="s">
        <v>215</v>
      </c>
      <c r="B204" s="823" t="s">
        <v>219</v>
      </c>
      <c r="C204" s="823"/>
      <c r="D204" s="575">
        <f>SUM(D187:D190)</f>
        <v>0</v>
      </c>
      <c r="E204" s="568" t="e">
        <f t="shared" si="18"/>
        <v>#DIV/0!</v>
      </c>
      <c r="F204" s="570">
        <f>F186</f>
        <v>0</v>
      </c>
      <c r="G204" s="570">
        <f>G186</f>
        <v>0</v>
      </c>
      <c r="H204" s="580"/>
      <c r="I204" s="566"/>
      <c r="J204" s="566"/>
      <c r="K204" s="566"/>
      <c r="L204" s="577"/>
      <c r="M204" s="567"/>
      <c r="N204" s="1"/>
      <c r="O204" s="1"/>
      <c r="P204" s="1"/>
      <c r="Q204" s="1"/>
      <c r="R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c r="B205" s="827" t="s">
        <v>220</v>
      </c>
      <c r="C205" s="827"/>
      <c r="D205" s="582">
        <f>SUM(D199:D204)</f>
        <v>0</v>
      </c>
      <c r="E205" s="568" t="e">
        <f>SUM(E199:E204)</f>
        <v>#DIV/0!</v>
      </c>
      <c r="F205" s="566"/>
      <c r="G205" s="566"/>
      <c r="H205" s="566"/>
      <c r="I205" s="566"/>
      <c r="J205" s="581"/>
      <c r="K205" s="9"/>
      <c r="L205" s="9"/>
      <c r="M205" s="567"/>
      <c r="N205" s="1"/>
      <c r="O205" s="1"/>
      <c r="P205" s="1"/>
      <c r="Q205" s="1"/>
      <c r="R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c r="B206" s="938" t="s">
        <v>221</v>
      </c>
      <c r="C206" s="938"/>
      <c r="D206" s="938"/>
      <c r="E206" s="568" t="e">
        <f>J132</f>
        <v>#DIV/0!</v>
      </c>
      <c r="F206" s="566"/>
      <c r="G206" s="566"/>
      <c r="H206" s="566"/>
      <c r="I206" s="566"/>
      <c r="J206" s="583"/>
      <c r="K206" s="583"/>
      <c r="L206" s="566"/>
      <c r="M206" s="567"/>
      <c r="N206" s="1"/>
      <c r="O206" s="1"/>
      <c r="P206" s="1"/>
      <c r="Q206" s="1"/>
      <c r="R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c r="B207" s="584"/>
      <c r="C207" s="585"/>
      <c r="D207" s="586"/>
      <c r="E207" s="566"/>
      <c r="F207" s="566"/>
      <c r="G207" s="9"/>
      <c r="H207" s="9"/>
      <c r="I207" s="9"/>
      <c r="J207" s="9"/>
      <c r="K207" s="9"/>
      <c r="L207" s="9"/>
      <c r="M207" s="567"/>
      <c r="N207" s="1"/>
      <c r="O207" s="1"/>
      <c r="P207" s="1"/>
      <c r="Q207" s="1"/>
      <c r="R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c r="B208" s="587"/>
      <c r="C208" s="588" t="s">
        <v>222</v>
      </c>
      <c r="D208" s="589"/>
      <c r="E208" s="589"/>
      <c r="F208" s="590"/>
      <c r="G208" s="590"/>
      <c r="H208" s="590"/>
      <c r="I208" s="590"/>
      <c r="J208" s="590"/>
      <c r="K208" s="589"/>
      <c r="L208" s="591"/>
      <c r="M208" s="567"/>
      <c r="N208" s="1"/>
      <c r="O208" s="1"/>
      <c r="P208" s="1"/>
      <c r="Q208" s="1"/>
      <c r="R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c r="B209" s="587"/>
      <c r="C209" s="281" t="s">
        <v>223</v>
      </c>
      <c r="D209" s="226"/>
      <c r="E209" s="226"/>
      <c r="F209" s="282"/>
      <c r="G209" s="282"/>
      <c r="H209" s="282"/>
      <c r="I209" s="282"/>
      <c r="J209" s="282"/>
      <c r="K209" s="226"/>
      <c r="L209" s="283"/>
      <c r="M209" s="567"/>
      <c r="N209" s="1"/>
      <c r="O209" s="1"/>
      <c r="P209" s="1"/>
      <c r="Q209" s="1"/>
      <c r="R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c r="B210" s="587"/>
      <c r="C210" s="284"/>
      <c r="D210" s="226"/>
      <c r="E210" s="226"/>
      <c r="F210" s="282"/>
      <c r="G210" s="282"/>
      <c r="H210" s="282"/>
      <c r="I210" s="282"/>
      <c r="J210" s="282"/>
      <c r="K210" s="226"/>
      <c r="L210" s="283"/>
      <c r="M210" s="567"/>
      <c r="N210" s="1"/>
      <c r="O210" s="1"/>
      <c r="P210" s="1"/>
      <c r="Q210" s="1"/>
      <c r="R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c r="B211" s="592">
        <f>IF(OR(D199&lt;&gt;0,D204&lt;&gt;0),1,0)</f>
        <v>0</v>
      </c>
      <c r="C211" s="593" t="str">
        <f>IF(AND(B211,OR(F199&gt;G199,F204&gt;G204)), "Au moins "&amp; E199*F199 &amp;" MWh PCI doivent provenir de source certifiée (FSC, PEFC…) dans la part 2017- 1A-PFA "&amp;"et "&amp;E204*F204&amp;"MWh pour le granulé","")</f>
        <v/>
      </c>
      <c r="D211" s="546"/>
      <c r="E211" s="546"/>
      <c r="F211" s="594"/>
      <c r="G211" s="594"/>
      <c r="H211" s="594"/>
      <c r="I211" s="594"/>
      <c r="J211" s="594"/>
      <c r="K211" s="546"/>
      <c r="L211" s="595"/>
      <c r="M211" s="567"/>
      <c r="N211" s="1"/>
      <c r="O211" s="1"/>
      <c r="P211" s="1"/>
      <c r="Q211" s="1"/>
      <c r="R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c r="B212" s="587"/>
      <c r="C212" s="593" t="str">
        <f>IF(OR(AND(D203&lt;&gt;0,H203="oui"),D202&lt;&gt;0),IF(AND(1200&lt;=G128,G128&lt;6000),IF(SUM(D199:D201)&gt;=0.3,"","Au moins 30% de l'approvisionnement externe doit être de catégorie 1"),IF(G128&lt;1200,"",IF(SUM(D199:D201)&gt;=0.4,"","Au moins 40% de l'approvisionnement externe doit être de catégorie 1"))),IF((D202+D203)=0,"",""))</f>
        <v/>
      </c>
      <c r="D212" s="546"/>
      <c r="E212" s="546"/>
      <c r="F212" s="594"/>
      <c r="G212" s="594"/>
      <c r="H212" s="594"/>
      <c r="I212" s="594"/>
      <c r="J212" s="594"/>
      <c r="K212" s="546"/>
      <c r="L212" s="595"/>
      <c r="M212" s="567"/>
      <c r="N212" s="1"/>
      <c r="O212" s="1"/>
      <c r="P212" s="1"/>
      <c r="Q212" s="1"/>
      <c r="R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c r="B213" s="587"/>
      <c r="C213" s="593" t="str">
        <f>IF(J191="oui","","Revoir la contractualisation de l'approvisionnement")</f>
        <v>Revoir la contractualisation de l'approvisionnement</v>
      </c>
      <c r="D213" s="546"/>
      <c r="E213" s="546"/>
      <c r="F213" s="594"/>
      <c r="G213" s="594"/>
      <c r="H213" s="594"/>
      <c r="I213" s="594"/>
      <c r="J213" s="594"/>
      <c r="K213" s="546"/>
      <c r="L213" s="595"/>
      <c r="M213" s="567"/>
      <c r="N213" s="1"/>
      <c r="O213" s="1"/>
      <c r="P213" s="1"/>
      <c r="Q213" s="1"/>
      <c r="R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c r="B214" s="596"/>
      <c r="C214" s="597" t="str">
        <f>IF(D205=1,"", "Il y a une erreur dans la répartition de l'approvisionnement externe : le total n'est pas à 100%")&amp;IF(SUM(D200:D203)&lt;&gt;SUM(D192:D195),"; erreur dans la répartition des combustibles","")</f>
        <v>Il y a une erreur dans la répartition de l'approvisionnement externe : le total n'est pas à 100%</v>
      </c>
      <c r="D214" s="546"/>
      <c r="E214" s="546"/>
      <c r="F214" s="598"/>
      <c r="G214" s="598"/>
      <c r="H214" s="598"/>
      <c r="I214" s="598"/>
      <c r="J214" s="598"/>
      <c r="K214" s="546"/>
      <c r="L214" s="595"/>
      <c r="M214" s="567"/>
      <c r="N214" s="426"/>
      <c r="O214" s="426"/>
      <c r="P214" s="426"/>
      <c r="Q214" s="426"/>
      <c r="R214" s="426"/>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thickBot="1">
      <c r="B215" s="596"/>
      <c r="C215" s="599"/>
      <c r="D215" s="600"/>
      <c r="E215" s="600"/>
      <c r="F215" s="601"/>
      <c r="G215" s="601"/>
      <c r="H215" s="601"/>
      <c r="I215" s="601"/>
      <c r="J215" s="601"/>
      <c r="K215" s="600"/>
      <c r="L215" s="602"/>
      <c r="M215" s="567"/>
      <c r="N215" s="603"/>
      <c r="O215" s="603"/>
      <c r="P215" s="603"/>
      <c r="Q215" s="603"/>
      <c r="R215" s="603"/>
      <c r="S215" s="604"/>
      <c r="T215" s="605"/>
      <c r="U215" s="605"/>
      <c r="V215" s="605"/>
      <c r="W215" s="605"/>
      <c r="X215" s="605"/>
      <c r="Y215" s="605"/>
      <c r="Z215" s="605"/>
      <c r="AA215" s="605"/>
      <c r="AB215" s="605"/>
      <c r="AC215" s="605"/>
      <c r="AD215" s="605"/>
      <c r="AE215" s="605"/>
      <c r="AF215" s="605"/>
      <c r="AG215" s="605"/>
      <c r="AH215" s="605"/>
      <c r="AI215" s="605"/>
      <c r="AJ215" s="605"/>
      <c r="AK215" s="605"/>
      <c r="AL215" s="605"/>
      <c r="AM215" s="605"/>
      <c r="AN215" s="605"/>
      <c r="AO215" s="605"/>
      <c r="AP215" s="605"/>
      <c r="AQ215" s="605"/>
      <c r="AR215" s="605"/>
      <c r="AS215" s="605"/>
      <c r="AT215" s="605"/>
      <c r="AU215" s="605"/>
      <c r="AV215" s="605"/>
      <c r="AW215" s="605"/>
      <c r="AX215" s="605"/>
      <c r="AY215" s="605"/>
      <c r="AZ215" s="605"/>
      <c r="BA215" s="605"/>
      <c r="BB215" s="605"/>
      <c r="BC215" s="605"/>
      <c r="BD215" s="605"/>
      <c r="BE215" s="605"/>
      <c r="BF215" s="605"/>
      <c r="BG215" s="605"/>
      <c r="BH215" s="605"/>
      <c r="BI215" s="605"/>
      <c r="BJ215" s="605"/>
      <c r="BK215" s="605"/>
      <c r="BL215" s="605"/>
      <c r="BM215" s="605"/>
      <c r="BN215" s="605"/>
      <c r="BO215" s="605"/>
      <c r="BP215" s="605"/>
      <c r="BQ215" s="605"/>
      <c r="BR215" s="605"/>
      <c r="BS215" s="605"/>
      <c r="BT215" s="605"/>
      <c r="BU215" s="605"/>
      <c r="BV215" s="605"/>
      <c r="BW215" s="605"/>
      <c r="BX215" s="605"/>
      <c r="BY215" s="605"/>
      <c r="BZ215" s="605"/>
      <c r="CA215" s="605"/>
      <c r="CB215" s="605"/>
      <c r="CC215" s="605"/>
      <c r="CD215" s="605"/>
      <c r="CE215" s="605"/>
      <c r="CF215" s="605"/>
    </row>
    <row r="216" spans="1:84" s="340" customFormat="1" ht="15.6" thickTop="1" thickBot="1">
      <c r="A216" s="196"/>
      <c r="B216" s="606"/>
      <c r="C216" s="607"/>
      <c r="D216" s="607"/>
      <c r="E216" s="607"/>
      <c r="F216" s="607"/>
      <c r="G216" s="607"/>
      <c r="H216" s="607"/>
      <c r="I216" s="607"/>
      <c r="J216" s="607"/>
      <c r="K216" s="607"/>
      <c r="L216" s="607"/>
      <c r="M216" s="608"/>
      <c r="N216" s="439"/>
      <c r="O216" s="439"/>
      <c r="P216" s="439"/>
      <c r="Q216" s="439"/>
      <c r="R216" s="439"/>
      <c r="S216" s="4"/>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thickBot="1">
      <c r="B217" s="196"/>
      <c r="C217" s="196"/>
      <c r="D217" s="196"/>
      <c r="E217" s="196"/>
      <c r="F217" s="196"/>
      <c r="G217" s="196"/>
      <c r="H217" s="196"/>
      <c r="I217" s="196"/>
      <c r="J217" s="196"/>
      <c r="K217" s="196"/>
      <c r="L217" s="196"/>
      <c r="M217" s="1"/>
      <c r="N217" s="609"/>
      <c r="O217" s="609"/>
      <c r="P217" s="609"/>
      <c r="Q217" s="609"/>
      <c r="R217" s="609"/>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8.600000000000001" thickBot="1">
      <c r="B218" s="1111" t="s">
        <v>224</v>
      </c>
      <c r="C218" s="1112"/>
      <c r="D218" s="1112"/>
      <c r="E218" s="1112"/>
      <c r="F218" s="1112"/>
      <c r="G218" s="1112"/>
      <c r="H218" s="1112"/>
      <c r="I218" s="1112"/>
      <c r="J218" s="1112"/>
      <c r="K218" s="1112"/>
      <c r="L218" s="1112"/>
      <c r="M218" s="1113"/>
      <c r="N218" s="609"/>
      <c r="O218" s="439"/>
      <c r="P218" s="609"/>
      <c r="Q218" s="609"/>
      <c r="R218" s="609"/>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c r="B219" s="806" t="s">
        <v>225</v>
      </c>
      <c r="C219" s="807"/>
      <c r="D219" s="807"/>
      <c r="E219" s="807"/>
      <c r="F219" s="808"/>
      <c r="G219" s="1103" t="s">
        <v>584</v>
      </c>
      <c r="H219" s="1104" t="s">
        <v>226</v>
      </c>
      <c r="I219" s="1105" t="s">
        <v>226</v>
      </c>
      <c r="J219" s="721" t="str">
        <f>IF(G219="Pas de réseau de chaleur","Continuer de remplir la fiche plus bas svp","")</f>
        <v>Continuer de remplir la fiche plus bas svp</v>
      </c>
      <c r="K219" s="610"/>
      <c r="L219" s="802" t="s">
        <v>28</v>
      </c>
      <c r="M219" s="803"/>
      <c r="N219" s="609"/>
      <c r="O219" s="439"/>
      <c r="P219" s="609"/>
      <c r="Q219" s="609"/>
      <c r="R219" s="609"/>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c r="B220" s="806" t="s">
        <v>227</v>
      </c>
      <c r="C220" s="807"/>
      <c r="D220" s="807"/>
      <c r="E220" s="807"/>
      <c r="F220" s="808"/>
      <c r="G220" s="1106" t="s">
        <v>821</v>
      </c>
      <c r="H220" s="1107"/>
      <c r="I220" s="1108"/>
      <c r="J220" s="610"/>
      <c r="K220" s="610"/>
      <c r="L220" s="802" t="s">
        <v>28</v>
      </c>
      <c r="M220" s="803"/>
      <c r="N220" s="609"/>
      <c r="O220" s="439"/>
      <c r="P220" s="609"/>
      <c r="Q220" s="609"/>
      <c r="R220" s="609"/>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customHeight="1">
      <c r="B221" s="806" t="s">
        <v>228</v>
      </c>
      <c r="C221" s="807"/>
      <c r="D221" s="807"/>
      <c r="E221" s="807"/>
      <c r="F221" s="808"/>
      <c r="G221" s="927" t="str">
        <f>IF(G222="article 46","Plafond à 30%;40%;50% de l'investissement (+15% si 100% enr) OU plafond par déficit de financement",IF('Fiche projet biomasse'!G222="article 41","Plafond à 45;55 ou 65% de l'investissement"))</f>
        <v>Plafond à 45;55 ou 65% de l'investissement</v>
      </c>
      <c r="H221" s="928"/>
      <c r="I221" s="928"/>
      <c r="J221" s="928"/>
      <c r="K221" s="928"/>
      <c r="L221" s="928"/>
      <c r="M221" s="929"/>
      <c r="N221" s="609"/>
      <c r="O221" s="439"/>
      <c r="P221" s="609"/>
      <c r="Q221" s="609"/>
      <c r="R221" s="609"/>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c r="B222" s="767" t="s">
        <v>229</v>
      </c>
      <c r="C222" s="768"/>
      <c r="D222" s="768"/>
      <c r="E222" s="768"/>
      <c r="F222" s="768"/>
      <c r="G222" s="821" t="str">
        <f>IF(G219="Pas de réseau de chaleur","article 41",IF(G220='Menus biomasse'!AO6,'Menus biomasse'!AO11,IF(G220='Menus biomasse'!AO7,'Menus biomasse'!AO12,"erreur")))</f>
        <v>article 41</v>
      </c>
      <c r="H222" s="822"/>
      <c r="I222" s="822"/>
      <c r="J222" s="610"/>
      <c r="K222" s="610"/>
      <c r="L222" s="802" t="s">
        <v>28</v>
      </c>
      <c r="M222" s="803"/>
      <c r="N222" s="609"/>
      <c r="O222" s="439"/>
      <c r="P222" s="609"/>
      <c r="Q222" s="609"/>
      <c r="R222" s="609"/>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39.75" customHeight="1">
      <c r="B223" s="611"/>
      <c r="C223" s="612"/>
      <c r="D223" s="612"/>
      <c r="E223" s="612"/>
      <c r="F223" s="612"/>
      <c r="G223" s="613" t="s">
        <v>230</v>
      </c>
      <c r="H223" s="614" t="s">
        <v>231</v>
      </c>
      <c r="I223" s="614" t="s">
        <v>232</v>
      </c>
      <c r="J223" s="612"/>
      <c r="K223" s="612"/>
      <c r="L223" s="612"/>
      <c r="M223" s="615"/>
      <c r="N223" s="426"/>
      <c r="O223" s="439"/>
      <c r="P223" s="609"/>
      <c r="Q223" s="426"/>
      <c r="R223" s="426"/>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c r="B224" s="806" t="s">
        <v>233</v>
      </c>
      <c r="C224" s="807"/>
      <c r="D224" s="807"/>
      <c r="E224" s="807"/>
      <c r="F224" s="808"/>
      <c r="G224" s="182" t="s">
        <v>234</v>
      </c>
      <c r="H224" s="182" t="s">
        <v>234</v>
      </c>
      <c r="I224" s="182" t="s">
        <v>234</v>
      </c>
      <c r="J224" s="610"/>
      <c r="K224" s="610"/>
      <c r="L224" s="802" t="s">
        <v>28</v>
      </c>
      <c r="M224" s="803"/>
      <c r="N224" s="609"/>
      <c r="O224" s="439"/>
      <c r="P224" s="609"/>
      <c r="Q224" s="609"/>
      <c r="R224" s="609"/>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c r="B225" s="806" t="s">
        <v>235</v>
      </c>
      <c r="C225" s="807"/>
      <c r="D225" s="807"/>
      <c r="E225" s="807"/>
      <c r="F225" s="808"/>
      <c r="G225" s="616">
        <f>SUM(G226:G227)</f>
        <v>0</v>
      </c>
      <c r="H225" s="616">
        <f t="shared" ref="H225" si="19">SUM(H226:H227)</f>
        <v>0</v>
      </c>
      <c r="I225" s="616">
        <f>SUM(I226:I227)</f>
        <v>0</v>
      </c>
      <c r="J225" s="610"/>
      <c r="K225" s="610"/>
      <c r="L225" s="802" t="s">
        <v>28</v>
      </c>
      <c r="M225" s="803"/>
      <c r="N225" s="609"/>
      <c r="O225" s="439"/>
      <c r="P225" s="609"/>
      <c r="Q225" s="609"/>
      <c r="R225" s="609"/>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c r="B226" s="828" t="s">
        <v>236</v>
      </c>
      <c r="C226" s="829"/>
      <c r="D226" s="829"/>
      <c r="E226" s="829"/>
      <c r="F226" s="830"/>
      <c r="G226" s="183"/>
      <c r="H226" s="183"/>
      <c r="I226" s="617">
        <f>H226-G226</f>
        <v>0</v>
      </c>
      <c r="J226" s="610"/>
      <c r="K226" s="610"/>
      <c r="L226" s="802" t="s">
        <v>28</v>
      </c>
      <c r="M226" s="803"/>
      <c r="N226" s="609"/>
      <c r="O226" s="439"/>
      <c r="P226" s="609"/>
      <c r="Q226" s="609"/>
      <c r="R226" s="609"/>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c r="B227" s="828" t="s">
        <v>237</v>
      </c>
      <c r="C227" s="829"/>
      <c r="D227" s="829"/>
      <c r="E227" s="829"/>
      <c r="F227" s="830"/>
      <c r="G227" s="183"/>
      <c r="H227" s="183"/>
      <c r="I227" s="617">
        <f>H227-G227</f>
        <v>0</v>
      </c>
      <c r="J227" s="750" t="str">
        <f>IF(I227&lt;&gt;0,"Vérifier que le projet est bien en haute pression","")</f>
        <v/>
      </c>
      <c r="K227" s="610"/>
      <c r="L227" s="802" t="s">
        <v>28</v>
      </c>
      <c r="M227" s="803"/>
      <c r="N227" s="609"/>
      <c r="O227" s="439"/>
      <c r="P227" s="609"/>
      <c r="Q227" s="609"/>
      <c r="R227" s="609"/>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s="340" customFormat="1">
      <c r="A228" s="196"/>
      <c r="B228" s="809" t="s">
        <v>238</v>
      </c>
      <c r="C228" s="810"/>
      <c r="D228" s="810"/>
      <c r="E228" s="810"/>
      <c r="F228" s="811"/>
      <c r="G228" s="618" t="s">
        <v>239</v>
      </c>
      <c r="H228" s="618" t="s">
        <v>240</v>
      </c>
      <c r="I228" s="618" t="s">
        <v>241</v>
      </c>
      <c r="J228" s="618" t="s">
        <v>242</v>
      </c>
      <c r="K228" s="618" t="s">
        <v>243</v>
      </c>
      <c r="L228" s="618" t="s">
        <v>244</v>
      </c>
      <c r="M228" s="619"/>
      <c r="N228" s="439"/>
      <c r="O228" s="439"/>
      <c r="P228" s="609"/>
      <c r="Q228" s="439"/>
      <c r="R228" s="439"/>
      <c r="S228" s="4"/>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s="340" customFormat="1">
      <c r="A229" s="196"/>
      <c r="B229" s="824"/>
      <c r="C229" s="825"/>
      <c r="D229" s="825"/>
      <c r="E229" s="825"/>
      <c r="F229" s="826"/>
      <c r="G229" s="188"/>
      <c r="H229" s="188"/>
      <c r="I229" s="188"/>
      <c r="J229" s="188"/>
      <c r="K229" s="189"/>
      <c r="L229" s="620">
        <f>SUM(G229:K229)</f>
        <v>0</v>
      </c>
      <c r="M229" s="621" t="s">
        <v>245</v>
      </c>
      <c r="N229" s="439"/>
      <c r="O229" s="439"/>
      <c r="P229" s="609"/>
      <c r="Q229" s="439"/>
      <c r="R229" s="439"/>
      <c r="S229" s="4"/>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s="340" customFormat="1">
      <c r="A230" s="196"/>
      <c r="B230" s="806" t="s">
        <v>246</v>
      </c>
      <c r="C230" s="807"/>
      <c r="D230" s="807"/>
      <c r="E230" s="807"/>
      <c r="F230" s="808"/>
      <c r="G230" s="184"/>
      <c r="H230" s="184"/>
      <c r="I230" s="622">
        <f>H230-G230</f>
        <v>0</v>
      </c>
      <c r="J230" s="610"/>
      <c r="K230" s="610"/>
      <c r="L230" s="802" t="s">
        <v>28</v>
      </c>
      <c r="M230" s="803"/>
      <c r="N230" s="439"/>
      <c r="O230" s="439"/>
      <c r="P230" s="609"/>
      <c r="Q230" s="439"/>
      <c r="R230" s="439"/>
      <c r="S230" s="4"/>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s="340" customFormat="1">
      <c r="A231" s="196"/>
      <c r="B231" s="806" t="s">
        <v>247</v>
      </c>
      <c r="C231" s="807"/>
      <c r="D231" s="807"/>
      <c r="E231" s="807"/>
      <c r="F231" s="808"/>
      <c r="G231" s="185"/>
      <c r="H231" s="185"/>
      <c r="I231" s="622">
        <f t="shared" ref="I231:I235" si="20">H231-G231</f>
        <v>0</v>
      </c>
      <c r="J231" s="623"/>
      <c r="K231" s="610"/>
      <c r="L231" s="802" t="s">
        <v>28</v>
      </c>
      <c r="M231" s="803"/>
      <c r="N231" s="439"/>
      <c r="O231" s="439"/>
      <c r="P231" s="609"/>
      <c r="Q231" s="439"/>
      <c r="R231" s="439"/>
      <c r="S231" s="4"/>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s="340" customFormat="1">
      <c r="A232" s="196"/>
      <c r="B232" s="806" t="s">
        <v>248</v>
      </c>
      <c r="C232" s="807"/>
      <c r="D232" s="807"/>
      <c r="E232" s="807"/>
      <c r="F232" s="808"/>
      <c r="G232" s="624" t="str">
        <f>IFERROR(G231/G230,"")</f>
        <v/>
      </c>
      <c r="H232" s="624" t="str">
        <f>IFERROR(H231/H230,"")</f>
        <v/>
      </c>
      <c r="I232" s="625">
        <f>IFERROR(I231/I230,0)</f>
        <v>0</v>
      </c>
      <c r="J232" s="610" t="str">
        <f>IF(H232&lt;0.65,"Taux de couverture EnR&amp;R trop faible","")</f>
        <v/>
      </c>
      <c r="K232" s="610"/>
      <c r="L232" s="802" t="s">
        <v>28</v>
      </c>
      <c r="M232" s="803"/>
      <c r="N232" s="439"/>
      <c r="O232" s="439"/>
      <c r="P232" s="609"/>
      <c r="Q232" s="439"/>
      <c r="R232" s="439"/>
      <c r="S232" s="4"/>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s="340" customFormat="1">
      <c r="A233" s="196"/>
      <c r="B233" s="806" t="s">
        <v>249</v>
      </c>
      <c r="C233" s="807"/>
      <c r="D233" s="807"/>
      <c r="E233" s="807"/>
      <c r="F233" s="808"/>
      <c r="G233" s="184"/>
      <c r="H233" s="184"/>
      <c r="I233" s="622">
        <f t="shared" si="20"/>
        <v>0</v>
      </c>
      <c r="J233" s="626" t="str">
        <f>IF(I233=G127,"","Vérifier la cohérence avec les données de la chaufferie §3")</f>
        <v/>
      </c>
      <c r="K233" s="610"/>
      <c r="L233" s="802" t="s">
        <v>28</v>
      </c>
      <c r="M233" s="803"/>
      <c r="N233" s="439"/>
      <c r="O233" s="439"/>
      <c r="P233" s="609"/>
      <c r="Q233" s="439"/>
      <c r="R233" s="439"/>
      <c r="S233" s="4"/>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s="340" customFormat="1">
      <c r="A234" s="196"/>
      <c r="B234" s="806" t="s">
        <v>250</v>
      </c>
      <c r="C234" s="807"/>
      <c r="D234" s="807"/>
      <c r="E234" s="807"/>
      <c r="F234" s="808"/>
      <c r="G234" s="186"/>
      <c r="H234" s="186"/>
      <c r="I234" s="627">
        <f t="shared" si="20"/>
        <v>0</v>
      </c>
      <c r="J234" s="610"/>
      <c r="K234" s="610"/>
      <c r="L234" s="802" t="s">
        <v>28</v>
      </c>
      <c r="M234" s="803"/>
      <c r="N234" s="439"/>
      <c r="O234" s="439"/>
      <c r="P234" s="609"/>
      <c r="Q234" s="439"/>
      <c r="R234" s="439"/>
      <c r="S234" s="4"/>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s="340" customFormat="1">
      <c r="A235" s="196"/>
      <c r="B235" s="806" t="s">
        <v>251</v>
      </c>
      <c r="C235" s="807"/>
      <c r="D235" s="807"/>
      <c r="E235" s="807"/>
      <c r="F235" s="808"/>
      <c r="G235" s="187"/>
      <c r="H235" s="187"/>
      <c r="I235" s="628">
        <f t="shared" si="20"/>
        <v>0</v>
      </c>
      <c r="J235" s="626" t="str">
        <f>IF(I235=F94,"","Vérifier la cohérence avec les données de la chaufferie §3")</f>
        <v>Vérifier la cohérence avec les données de la chaufferie §3</v>
      </c>
      <c r="K235" s="610"/>
      <c r="L235" s="802" t="s">
        <v>28</v>
      </c>
      <c r="M235" s="803"/>
      <c r="N235" s="439"/>
      <c r="O235" s="439"/>
      <c r="P235" s="609"/>
      <c r="Q235" s="439"/>
      <c r="R235" s="439"/>
      <c r="S235" s="4"/>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s="340" customFormat="1">
      <c r="A236" s="196"/>
      <c r="B236" s="806" t="s">
        <v>252</v>
      </c>
      <c r="C236" s="807"/>
      <c r="D236" s="807"/>
      <c r="E236" s="807"/>
      <c r="F236" s="808"/>
      <c r="G236" s="629">
        <f>G233/12</f>
        <v>0</v>
      </c>
      <c r="H236" s="629">
        <f>H233/12</f>
        <v>0</v>
      </c>
      <c r="I236" s="630">
        <f>H236-G236</f>
        <v>0</v>
      </c>
      <c r="J236" s="626"/>
      <c r="K236" s="610"/>
      <c r="L236" s="802" t="s">
        <v>28</v>
      </c>
      <c r="M236" s="803"/>
      <c r="N236" s="439"/>
      <c r="O236" s="439"/>
      <c r="P236" s="609"/>
      <c r="Q236" s="439"/>
      <c r="R236" s="439"/>
      <c r="S236" s="4"/>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s="340" customFormat="1">
      <c r="A237" s="196"/>
      <c r="B237" s="806" t="s">
        <v>815</v>
      </c>
      <c r="C237" s="807"/>
      <c r="D237" s="807"/>
      <c r="E237" s="807"/>
      <c r="F237" s="808"/>
      <c r="G237" s="751" t="str">
        <f>IFERROR(G233/G225,"")</f>
        <v/>
      </c>
      <c r="H237" s="751" t="str">
        <f>IFERROR(H233/H225,"")</f>
        <v/>
      </c>
      <c r="I237" s="752">
        <f>IFERROR(I233/I225,0)</f>
        <v>0</v>
      </c>
      <c r="J237" s="610" t="str">
        <f>IF(AND(H231&lt;6000,G219="Création"),IF(I237&lt;1,"Densité trop faible",""),IF(I237&lt;1.5,"Densité trop faible",""))</f>
        <v>Densité trop faible</v>
      </c>
      <c r="K237" s="610"/>
      <c r="L237" s="802" t="s">
        <v>28</v>
      </c>
      <c r="M237" s="803"/>
      <c r="N237" s="439"/>
      <c r="O237" s="439"/>
      <c r="P237" s="609"/>
      <c r="Q237" s="439"/>
      <c r="R237" s="439"/>
      <c r="S237" s="4"/>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s="340" customFormat="1">
      <c r="A238" s="196"/>
      <c r="B238" s="806" t="s">
        <v>253</v>
      </c>
      <c r="C238" s="807"/>
      <c r="D238" s="807"/>
      <c r="E238" s="807"/>
      <c r="F238" s="808"/>
      <c r="G238" s="200" t="str">
        <f>IFERROR(G233/G230,"")</f>
        <v/>
      </c>
      <c r="H238" s="200" t="str">
        <f>IFERROR(H233/H230,"")</f>
        <v/>
      </c>
      <c r="I238" s="625">
        <f>IFERROR(H238-G238,0)</f>
        <v>0</v>
      </c>
      <c r="J238" s="610" t="str">
        <f>IF(H238&lt;0.85,"Rendement réseau trop faible","")</f>
        <v/>
      </c>
      <c r="K238" s="610"/>
      <c r="L238" s="802" t="s">
        <v>28</v>
      </c>
      <c r="M238" s="803"/>
      <c r="N238" s="439"/>
      <c r="O238" s="439"/>
      <c r="P238" s="609"/>
      <c r="Q238" s="439"/>
      <c r="R238" s="439"/>
      <c r="S238" s="4"/>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s="340" customFormat="1">
      <c r="A239" s="196"/>
      <c r="B239" s="806" t="s">
        <v>254</v>
      </c>
      <c r="C239" s="807"/>
      <c r="D239" s="807"/>
      <c r="E239" s="807"/>
      <c r="F239" s="808"/>
      <c r="G239" s="315"/>
      <c r="H239" s="315"/>
      <c r="I239" s="631"/>
      <c r="J239" s="610"/>
      <c r="K239" s="610"/>
      <c r="L239" s="802" t="s">
        <v>28</v>
      </c>
      <c r="M239" s="803"/>
      <c r="N239" s="439"/>
      <c r="O239" s="439"/>
      <c r="P239" s="609"/>
      <c r="Q239" s="439"/>
      <c r="R239" s="439"/>
      <c r="S239" s="4"/>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s="340" customFormat="1">
      <c r="A240" s="196"/>
      <c r="B240" s="806" t="s">
        <v>255</v>
      </c>
      <c r="C240" s="807"/>
      <c r="D240" s="807"/>
      <c r="E240" s="807"/>
      <c r="F240" s="808"/>
      <c r="G240" s="965"/>
      <c r="H240" s="966"/>
      <c r="I240" s="967"/>
      <c r="J240" s="610" t="str">
        <f ca="1">IF(K240-G240&gt;5,"Schéma directeur trop ancien","")</f>
        <v>Schéma directeur trop ancien</v>
      </c>
      <c r="K240" s="632">
        <f ca="1">(YEAR(TODAY()))</f>
        <v>2024</v>
      </c>
      <c r="L240" s="802" t="s">
        <v>28</v>
      </c>
      <c r="M240" s="803"/>
      <c r="N240" s="439"/>
      <c r="O240" s="439"/>
      <c r="P240" s="609"/>
      <c r="Q240" s="439"/>
      <c r="R240" s="439"/>
      <c r="S240" s="4"/>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s="340" customFormat="1">
      <c r="A241" s="196"/>
      <c r="B241" s="809" t="s">
        <v>111</v>
      </c>
      <c r="C241" s="810"/>
      <c r="D241" s="810"/>
      <c r="E241" s="810"/>
      <c r="F241" s="811"/>
      <c r="G241" s="1091"/>
      <c r="H241" s="1091"/>
      <c r="I241" s="1091"/>
      <c r="J241" s="1091"/>
      <c r="K241" s="1091"/>
      <c r="L241" s="1091"/>
      <c r="M241" s="1092"/>
      <c r="N241" s="439"/>
      <c r="O241" s="439"/>
      <c r="P241" s="609"/>
      <c r="Q241" s="439"/>
      <c r="R241" s="439"/>
      <c r="S241" s="4"/>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s="340" customFormat="1">
      <c r="A242" s="196"/>
      <c r="B242" s="812"/>
      <c r="C242" s="813"/>
      <c r="D242" s="813"/>
      <c r="E242" s="813"/>
      <c r="F242" s="814"/>
      <c r="G242" s="1091"/>
      <c r="H242" s="1091"/>
      <c r="I242" s="1091"/>
      <c r="J242" s="1091"/>
      <c r="K242" s="1091"/>
      <c r="L242" s="1091"/>
      <c r="M242" s="1092"/>
      <c r="N242" s="439"/>
      <c r="O242" s="439"/>
      <c r="P242" s="609"/>
      <c r="Q242" s="439"/>
      <c r="R242" s="439"/>
      <c r="S242" s="4"/>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s="340" customFormat="1" ht="15" thickBot="1">
      <c r="A243" s="196"/>
      <c r="B243" s="815"/>
      <c r="C243" s="816"/>
      <c r="D243" s="816"/>
      <c r="E243" s="816"/>
      <c r="F243" s="817"/>
      <c r="G243" s="1093"/>
      <c r="H243" s="1093"/>
      <c r="I243" s="1093"/>
      <c r="J243" s="1093"/>
      <c r="K243" s="1093"/>
      <c r="L243" s="1093"/>
      <c r="M243" s="1094"/>
      <c r="N243" s="439"/>
      <c r="O243" s="439"/>
      <c r="P243" s="609"/>
      <c r="Q243" s="439"/>
      <c r="R243" s="439"/>
      <c r="S243" s="4"/>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8" customHeight="1" thickBot="1">
      <c r="B244" s="853" t="s">
        <v>256</v>
      </c>
      <c r="C244" s="854"/>
      <c r="D244" s="854"/>
      <c r="E244" s="854"/>
      <c r="F244" s="854"/>
      <c r="G244" s="854"/>
      <c r="H244" s="854"/>
      <c r="I244" s="854"/>
      <c r="J244" s="854"/>
      <c r="K244" s="854"/>
      <c r="L244" s="854"/>
      <c r="M244" s="855"/>
      <c r="N244" s="609"/>
      <c r="O244" s="609"/>
      <c r="P244" s="609"/>
      <c r="Q244" s="609"/>
      <c r="R244" s="609"/>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8" customHeight="1" thickBot="1">
      <c r="B245" s="940" t="s">
        <v>257</v>
      </c>
      <c r="C245" s="941"/>
      <c r="D245" s="941"/>
      <c r="E245" s="941"/>
      <c r="F245" s="941"/>
      <c r="G245" s="941"/>
      <c r="H245" s="941"/>
      <c r="I245" s="941"/>
      <c r="J245" s="941"/>
      <c r="K245" s="941"/>
      <c r="L245" s="941"/>
      <c r="M245" s="942"/>
      <c r="N245" s="609"/>
      <c r="O245" s="609"/>
      <c r="P245" s="609"/>
      <c r="Q245" s="609"/>
      <c r="R245" s="609"/>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thickBot="1">
      <c r="B246" s="1097" t="s">
        <v>170</v>
      </c>
      <c r="C246" s="1098"/>
      <c r="D246" s="1098"/>
      <c r="E246" s="1098"/>
      <c r="F246" s="1099"/>
      <c r="G246" s="912">
        <f>L161</f>
        <v>0</v>
      </c>
      <c r="H246" s="818" t="s">
        <v>28</v>
      </c>
      <c r="I246" s="819"/>
      <c r="J246" s="819"/>
      <c r="K246" s="819"/>
      <c r="L246" s="819"/>
      <c r="M246" s="820"/>
      <c r="N246" s="609"/>
      <c r="O246" s="609"/>
      <c r="P246" s="609"/>
      <c r="Q246" s="609"/>
      <c r="R246" s="609"/>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thickBot="1">
      <c r="B247" s="773" t="s">
        <v>258</v>
      </c>
      <c r="C247" s="774"/>
      <c r="D247" s="774"/>
      <c r="E247" s="774"/>
      <c r="F247" s="775"/>
      <c r="G247" s="777"/>
      <c r="H247" s="818" t="s">
        <v>28</v>
      </c>
      <c r="I247" s="819"/>
      <c r="J247" s="819"/>
      <c r="K247" s="819"/>
      <c r="L247" s="819"/>
      <c r="M247" s="820"/>
      <c r="N247" s="609"/>
      <c r="O247" s="609"/>
      <c r="P247" s="609"/>
      <c r="Q247" s="4"/>
      <c r="R247" s="1"/>
      <c r="S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row>
    <row r="248" spans="1:84" ht="15" thickBot="1">
      <c r="B248" s="767" t="s">
        <v>172</v>
      </c>
      <c r="C248" s="768"/>
      <c r="D248" s="768"/>
      <c r="E248" s="768"/>
      <c r="F248" s="769"/>
      <c r="G248" s="776">
        <f>L162</f>
        <v>0</v>
      </c>
      <c r="H248" s="764" t="s">
        <v>28</v>
      </c>
      <c r="I248" s="765"/>
      <c r="J248" s="765"/>
      <c r="K248" s="765"/>
      <c r="L248" s="765"/>
      <c r="M248" s="766"/>
      <c r="N248" s="609"/>
      <c r="O248" s="609"/>
      <c r="P248" s="609"/>
      <c r="Q248" s="4"/>
      <c r="R248" s="1"/>
      <c r="S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row>
    <row r="249" spans="1:84" ht="27.75" customHeight="1" thickBot="1">
      <c r="B249" s="770" t="s">
        <v>259</v>
      </c>
      <c r="C249" s="771"/>
      <c r="D249" s="771"/>
      <c r="E249" s="771"/>
      <c r="F249" s="772"/>
      <c r="G249" s="777"/>
      <c r="H249" s="764" t="s">
        <v>28</v>
      </c>
      <c r="I249" s="765"/>
      <c r="J249" s="765"/>
      <c r="K249" s="765"/>
      <c r="L249" s="765"/>
      <c r="M249" s="766"/>
      <c r="N249" s="609"/>
      <c r="O249" s="609"/>
      <c r="P249" s="609"/>
      <c r="Q249" s="4"/>
      <c r="R249" s="1"/>
      <c r="S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row>
    <row r="250" spans="1:84" ht="15" thickBot="1">
      <c r="B250" s="767" t="s">
        <v>174</v>
      </c>
      <c r="C250" s="768"/>
      <c r="D250" s="768"/>
      <c r="E250" s="768"/>
      <c r="F250" s="769"/>
      <c r="G250" s="776">
        <f>L163</f>
        <v>0</v>
      </c>
      <c r="H250" s="764" t="s">
        <v>28</v>
      </c>
      <c r="I250" s="765"/>
      <c r="J250" s="765"/>
      <c r="K250" s="765"/>
      <c r="L250" s="765"/>
      <c r="M250" s="766"/>
      <c r="N250" s="609"/>
      <c r="O250" s="609"/>
      <c r="P250" s="609"/>
      <c r="Q250" s="4"/>
      <c r="R250" s="1"/>
      <c r="S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row>
    <row r="251" spans="1:84" ht="14.25" customHeight="1" thickBot="1">
      <c r="B251" s="773" t="s">
        <v>260</v>
      </c>
      <c r="C251" s="774"/>
      <c r="D251" s="774"/>
      <c r="E251" s="774"/>
      <c r="F251" s="775"/>
      <c r="G251" s="777"/>
      <c r="H251" s="764" t="s">
        <v>28</v>
      </c>
      <c r="I251" s="765"/>
      <c r="J251" s="765"/>
      <c r="K251" s="765"/>
      <c r="L251" s="765"/>
      <c r="M251" s="766"/>
      <c r="N251" s="609"/>
      <c r="O251" s="609"/>
      <c r="P251" s="609"/>
      <c r="Q251" s="4"/>
      <c r="R251" s="1"/>
      <c r="S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row>
    <row r="252" spans="1:84" ht="15" thickBot="1">
      <c r="B252" s="767" t="s">
        <v>176</v>
      </c>
      <c r="C252" s="768"/>
      <c r="D252" s="768"/>
      <c r="E252" s="768"/>
      <c r="F252" s="769"/>
      <c r="G252" s="776">
        <f>L164</f>
        <v>0</v>
      </c>
      <c r="H252" s="764" t="s">
        <v>28</v>
      </c>
      <c r="I252" s="765"/>
      <c r="J252" s="765"/>
      <c r="K252" s="765"/>
      <c r="L252" s="765"/>
      <c r="M252" s="766"/>
      <c r="N252" s="609"/>
      <c r="O252" s="609"/>
      <c r="P252" s="609"/>
      <c r="Q252" s="4"/>
      <c r="R252" s="1"/>
      <c r="S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row>
    <row r="253" spans="1:84" ht="15" thickBot="1">
      <c r="B253" s="773" t="s">
        <v>261</v>
      </c>
      <c r="C253" s="774"/>
      <c r="D253" s="774"/>
      <c r="E253" s="774"/>
      <c r="F253" s="775"/>
      <c r="G253" s="943"/>
      <c r="H253" s="764" t="s">
        <v>28</v>
      </c>
      <c r="I253" s="765"/>
      <c r="J253" s="765"/>
      <c r="K253" s="765"/>
      <c r="L253" s="765"/>
      <c r="M253" s="766"/>
      <c r="N253" s="609"/>
      <c r="O253" s="609"/>
      <c r="P253" s="609"/>
      <c r="Q253" s="4"/>
      <c r="R253" s="1"/>
      <c r="S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row>
    <row r="254" spans="1:84" ht="15" customHeight="1" thickBot="1">
      <c r="B254" s="853" t="s">
        <v>262</v>
      </c>
      <c r="C254" s="854"/>
      <c r="D254" s="854"/>
      <c r="E254" s="854"/>
      <c r="F254" s="854"/>
      <c r="G254" s="854"/>
      <c r="H254" s="854"/>
      <c r="I254" s="854"/>
      <c r="J254" s="854"/>
      <c r="K254" s="854"/>
      <c r="L254" s="854"/>
      <c r="M254" s="855"/>
      <c r="N254" s="609"/>
      <c r="O254" s="609"/>
      <c r="P254" s="609"/>
      <c r="Q254" s="609"/>
      <c r="R254" s="609"/>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row>
    <row r="255" spans="1:84" ht="18" customHeight="1" thickBot="1">
      <c r="B255" s="940" t="s">
        <v>257</v>
      </c>
      <c r="C255" s="941"/>
      <c r="D255" s="941"/>
      <c r="E255" s="941"/>
      <c r="F255" s="941"/>
      <c r="G255" s="941"/>
      <c r="H255" s="941"/>
      <c r="I255" s="941"/>
      <c r="J255" s="941"/>
      <c r="K255" s="941"/>
      <c r="L255" s="941"/>
      <c r="M255" s="942"/>
      <c r="N255" s="609"/>
      <c r="O255" s="609"/>
      <c r="P255" s="609"/>
      <c r="Q255" s="609"/>
      <c r="R255" s="609"/>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row>
    <row r="256" spans="1:84" ht="15" thickBot="1">
      <c r="A256" s="196"/>
      <c r="B256" s="806" t="s">
        <v>263</v>
      </c>
      <c r="C256" s="807"/>
      <c r="D256" s="807"/>
      <c r="E256" s="807"/>
      <c r="F256" s="808"/>
      <c r="G256" s="400"/>
      <c r="H256" s="764" t="s">
        <v>28</v>
      </c>
      <c r="I256" s="765"/>
      <c r="J256" s="765"/>
      <c r="K256" s="765"/>
      <c r="L256" s="765"/>
      <c r="M256" s="766"/>
      <c r="N256" s="609"/>
      <c r="O256" s="609"/>
      <c r="P256" s="609"/>
      <c r="Q256" s="609"/>
      <c r="R256" s="609"/>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row>
    <row r="257" spans="1:84">
      <c r="A257" s="196"/>
      <c r="B257" s="806" t="s">
        <v>264</v>
      </c>
      <c r="C257" s="807"/>
      <c r="D257" s="807"/>
      <c r="E257" s="807"/>
      <c r="F257" s="808"/>
      <c r="G257" s="400"/>
      <c r="H257" s="764" t="s">
        <v>28</v>
      </c>
      <c r="I257" s="765"/>
      <c r="J257" s="765"/>
      <c r="K257" s="765"/>
      <c r="L257" s="765"/>
      <c r="M257" s="766"/>
      <c r="N257" s="609"/>
      <c r="O257" s="609"/>
      <c r="P257" s="609"/>
      <c r="Q257" s="609"/>
      <c r="R257" s="609"/>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row>
    <row r="258" spans="1:84">
      <c r="B258" s="196"/>
      <c r="C258" s="196"/>
      <c r="D258" s="196"/>
      <c r="E258" s="196"/>
      <c r="F258" s="196"/>
      <c r="G258" s="196"/>
      <c r="H258" s="196"/>
      <c r="I258" s="196"/>
      <c r="J258" s="196"/>
      <c r="K258" s="196"/>
      <c r="L258" s="196"/>
      <c r="M258" s="1"/>
      <c r="N258" s="609"/>
      <c r="O258" s="609"/>
      <c r="P258" s="609"/>
      <c r="Q258" s="609"/>
      <c r="R258" s="609"/>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row>
    <row r="259" spans="1:84" ht="15" thickBot="1">
      <c r="B259" s="196"/>
      <c r="C259" s="196"/>
      <c r="D259" s="196"/>
      <c r="E259" s="196"/>
      <c r="F259" s="196"/>
      <c r="G259" s="196"/>
      <c r="H259" s="196"/>
      <c r="I259" s="196"/>
      <c r="J259" s="196"/>
      <c r="K259" s="196"/>
      <c r="L259" s="196"/>
      <c r="M259" s="1"/>
      <c r="N259" s="609"/>
      <c r="O259" s="609"/>
      <c r="P259" s="609"/>
      <c r="Q259" s="609"/>
      <c r="R259" s="609"/>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row>
    <row r="260" spans="1:84" ht="22.5" customHeight="1" thickBot="1">
      <c r="B260" s="962" t="s">
        <v>265</v>
      </c>
      <c r="C260" s="963"/>
      <c r="D260" s="963"/>
      <c r="E260" s="963"/>
      <c r="F260" s="963"/>
      <c r="G260" s="963"/>
      <c r="H260" s="963"/>
      <c r="I260" s="963"/>
      <c r="J260" s="963"/>
      <c r="K260" s="963"/>
      <c r="L260" s="963"/>
      <c r="M260" s="964"/>
      <c r="N260" s="609"/>
      <c r="O260" s="609"/>
      <c r="P260" s="609"/>
      <c r="Q260" s="609"/>
      <c r="R260" s="609"/>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row>
    <row r="261" spans="1:84" ht="18" thickBot="1">
      <c r="B261" s="633"/>
      <c r="C261" s="634"/>
      <c r="D261" s="634"/>
      <c r="E261" s="634"/>
      <c r="F261" s="634"/>
      <c r="G261" s="634"/>
      <c r="H261" s="635" t="s">
        <v>266</v>
      </c>
      <c r="I261" s="1049" t="s">
        <v>267</v>
      </c>
      <c r="J261" s="1049"/>
      <c r="K261" s="1049" t="s">
        <v>268</v>
      </c>
      <c r="L261" s="1049"/>
      <c r="M261" s="1050"/>
      <c r="N261" s="636"/>
      <c r="O261" s="636"/>
      <c r="P261" s="636"/>
      <c r="Q261" s="636"/>
      <c r="R261" s="636"/>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row>
    <row r="262" spans="1:84" ht="18" thickBot="1">
      <c r="B262" s="787" t="s">
        <v>269</v>
      </c>
      <c r="C262" s="788"/>
      <c r="D262" s="788"/>
      <c r="E262" s="788"/>
      <c r="F262" s="788"/>
      <c r="G262" s="788"/>
      <c r="H262" s="788"/>
      <c r="I262" s="788"/>
      <c r="J262" s="788"/>
      <c r="K262" s="788"/>
      <c r="L262" s="788"/>
      <c r="M262" s="789"/>
      <c r="N262" s="609"/>
      <c r="O262" s="609"/>
      <c r="P262" s="609"/>
      <c r="Q262" s="609"/>
      <c r="R262" s="609"/>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row>
    <row r="263" spans="1:84" ht="33" customHeight="1">
      <c r="B263" s="1122" t="s">
        <v>270</v>
      </c>
      <c r="C263" s="1123"/>
      <c r="D263" s="1123"/>
      <c r="E263" s="1123"/>
      <c r="F263" s="1123"/>
      <c r="G263" s="1124"/>
      <c r="H263" s="191" t="s">
        <v>108</v>
      </c>
      <c r="I263" s="790"/>
      <c r="J263" s="790"/>
      <c r="K263" s="930"/>
      <c r="L263" s="930"/>
      <c r="M263" s="931"/>
      <c r="N263" s="439"/>
      <c r="O263" s="439"/>
      <c r="P263" s="439"/>
      <c r="Q263" s="439"/>
      <c r="R263" s="439"/>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row>
    <row r="264" spans="1:84" ht="31.5" customHeight="1">
      <c r="B264" s="784" t="s">
        <v>271</v>
      </c>
      <c r="C264" s="785"/>
      <c r="D264" s="785"/>
      <c r="E264" s="785"/>
      <c r="F264" s="785"/>
      <c r="G264" s="786"/>
      <c r="H264" s="191" t="s">
        <v>108</v>
      </c>
      <c r="I264" s="973"/>
      <c r="J264" s="973"/>
      <c r="K264" s="1133"/>
      <c r="L264" s="1133"/>
      <c r="M264" s="1134"/>
      <c r="N264" s="433"/>
      <c r="O264" s="433"/>
      <c r="P264" s="433"/>
      <c r="Q264" s="433"/>
      <c r="R264" s="433"/>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row>
    <row r="265" spans="1:84">
      <c r="B265" s="784" t="s">
        <v>272</v>
      </c>
      <c r="C265" s="785"/>
      <c r="D265" s="785"/>
      <c r="E265" s="785"/>
      <c r="F265" s="785"/>
      <c r="G265" s="786"/>
      <c r="H265" s="227"/>
      <c r="I265" s="1132"/>
      <c r="J265" s="1132"/>
      <c r="K265" s="978" t="str">
        <f>IF(H265="Qualibois",IF(Puiss_biomasse&gt;70, "Qualibois correspond si P &lt; 70 kW","Ok"),"")</f>
        <v/>
      </c>
      <c r="L265" s="978"/>
      <c r="M265" s="979"/>
      <c r="N265" s="433"/>
      <c r="O265" s="433"/>
      <c r="P265" s="433"/>
      <c r="Q265" s="433"/>
      <c r="R265" s="433"/>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row>
    <row r="266" spans="1:84" ht="15" thickBot="1">
      <c r="B266" s="784" t="s">
        <v>273</v>
      </c>
      <c r="C266" s="785"/>
      <c r="D266" s="785"/>
      <c r="E266" s="785"/>
      <c r="F266" s="785"/>
      <c r="G266" s="786"/>
      <c r="H266" s="637" t="str">
        <f>F91</f>
        <v>OK</v>
      </c>
      <c r="I266" s="638"/>
      <c r="J266" s="161"/>
      <c r="K266" s="976" t="s">
        <v>274</v>
      </c>
      <c r="L266" s="976"/>
      <c r="M266" s="977"/>
      <c r="N266" s="433"/>
      <c r="O266" s="433"/>
      <c r="P266" s="433"/>
      <c r="Q266" s="433"/>
      <c r="R266" s="433"/>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row>
    <row r="267" spans="1:84" ht="15" thickBot="1">
      <c r="B267" s="784" t="s">
        <v>92</v>
      </c>
      <c r="C267" s="785"/>
      <c r="D267" s="785"/>
      <c r="E267" s="785"/>
      <c r="F267" s="785"/>
      <c r="G267" s="786"/>
      <c r="H267" s="190" t="s">
        <v>108</v>
      </c>
      <c r="I267" s="1080"/>
      <c r="J267" s="1081"/>
      <c r="K267" s="639"/>
      <c r="L267" s="639"/>
      <c r="M267" s="640"/>
      <c r="N267" s="433"/>
      <c r="O267" s="433"/>
      <c r="P267" s="433"/>
      <c r="Q267" s="433"/>
      <c r="R267" s="433"/>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row>
    <row r="268" spans="1:84" ht="18" thickBot="1">
      <c r="B268" s="787" t="s">
        <v>275</v>
      </c>
      <c r="C268" s="788"/>
      <c r="D268" s="788"/>
      <c r="E268" s="788"/>
      <c r="F268" s="788"/>
      <c r="G268" s="788"/>
      <c r="H268" s="788"/>
      <c r="I268" s="788"/>
      <c r="J268" s="788"/>
      <c r="K268" s="788"/>
      <c r="L268" s="788"/>
      <c r="M268" s="789"/>
      <c r="N268" s="439"/>
      <c r="O268" s="439"/>
      <c r="P268" s="439"/>
      <c r="Q268" s="439"/>
      <c r="R268" s="439"/>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row>
    <row r="269" spans="1:84">
      <c r="B269" s="784" t="s">
        <v>276</v>
      </c>
      <c r="C269" s="785"/>
      <c r="D269" s="785"/>
      <c r="E269" s="785"/>
      <c r="F269" s="785"/>
      <c r="G269" s="786"/>
      <c r="H269" s="401">
        <f>IFERROR(ROUND(G131,2),"")</f>
        <v>0</v>
      </c>
      <c r="I269" s="791"/>
      <c r="J269" s="792"/>
      <c r="K269" s="974" t="str">
        <f>IF(H269&lt;85%, "Le rendement doit être supérieur à 85%","")</f>
        <v>Le rendement doit être supérieur à 85%</v>
      </c>
      <c r="L269" s="974"/>
      <c r="M269" s="975"/>
      <c r="N269" s="641"/>
      <c r="O269" s="641"/>
      <c r="P269" s="641"/>
      <c r="Q269" s="641"/>
      <c r="R269" s="641"/>
      <c r="S269" s="434"/>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row>
    <row r="270" spans="1:84">
      <c r="B270" s="784" t="s">
        <v>277</v>
      </c>
      <c r="C270" s="785"/>
      <c r="D270" s="785"/>
      <c r="E270" s="785"/>
      <c r="F270" s="785"/>
      <c r="G270" s="786"/>
      <c r="H270" s="642">
        <f>Prod_biomasse</f>
        <v>0</v>
      </c>
      <c r="I270" s="1070"/>
      <c r="J270" s="1070"/>
      <c r="K270" s="1071" t="str">
        <f>IF(H270&gt;12000,"Ce projet doit passer par le Fonds Chaleur et non un CCR","")</f>
        <v/>
      </c>
      <c r="L270" s="1071"/>
      <c r="M270" s="1072"/>
      <c r="N270" s="641"/>
      <c r="O270" s="641"/>
      <c r="P270" s="641"/>
      <c r="Q270" s="641"/>
      <c r="R270" s="641"/>
      <c r="S270" s="434"/>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row>
    <row r="271" spans="1:84">
      <c r="B271" s="784" t="s">
        <v>278</v>
      </c>
      <c r="C271" s="785"/>
      <c r="D271" s="785"/>
      <c r="E271" s="785"/>
      <c r="F271" s="785"/>
      <c r="G271" s="786"/>
      <c r="H271" s="643" t="str">
        <f>IF(OR(G130&gt;1200,F134&gt;1),"OK",IF(AND(G125&lt;&gt;0,O309="Granulés"),"OK","Non éligible"))</f>
        <v>OK</v>
      </c>
      <c r="I271" s="644" t="str">
        <f>G130</f>
        <v/>
      </c>
      <c r="J271" s="645" t="str">
        <f>IF(F134&gt;1,"avec cascade",IF(AND(G125&lt;&gt;0,O309="granulés"),"granulés avec ballon",IF(H271="ok","","vérifier éligibilité")))</f>
        <v/>
      </c>
      <c r="K271" s="646"/>
      <c r="L271" s="646"/>
      <c r="M271" s="647"/>
      <c r="N271" s="433"/>
      <c r="O271" s="433"/>
      <c r="P271" s="433"/>
      <c r="Q271" s="433"/>
      <c r="R271" s="433"/>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row>
    <row r="272" spans="1:84" ht="15" thickBot="1">
      <c r="B272" s="784" t="s">
        <v>279</v>
      </c>
      <c r="C272" s="785"/>
      <c r="D272" s="785"/>
      <c r="E272" s="785"/>
      <c r="F272" s="785"/>
      <c r="G272" s="786"/>
      <c r="H272" s="191" t="s">
        <v>108</v>
      </c>
      <c r="I272" s="1069"/>
      <c r="J272" s="1069"/>
      <c r="K272" s="796" t="str">
        <f>IF(H272="non","Le suivi doit être prévu","")</f>
        <v/>
      </c>
      <c r="L272" s="796"/>
      <c r="M272" s="797"/>
      <c r="N272" s="433"/>
      <c r="O272" s="433"/>
      <c r="P272" s="433"/>
      <c r="Q272" s="433"/>
      <c r="R272" s="433"/>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row>
    <row r="273" spans="2:84" ht="18" thickBot="1">
      <c r="B273" s="787" t="s">
        <v>280</v>
      </c>
      <c r="C273" s="788"/>
      <c r="D273" s="788"/>
      <c r="E273" s="788"/>
      <c r="F273" s="788"/>
      <c r="G273" s="788"/>
      <c r="H273" s="788"/>
      <c r="I273" s="788"/>
      <c r="J273" s="788"/>
      <c r="K273" s="788"/>
      <c r="L273" s="788"/>
      <c r="M273" s="789"/>
      <c r="N273" s="650"/>
      <c r="O273" s="650"/>
      <c r="P273" s="650"/>
      <c r="Q273" s="650"/>
      <c r="R273" s="650"/>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row>
    <row r="274" spans="2:84" ht="16.5" customHeight="1">
      <c r="B274" s="784" t="s">
        <v>143</v>
      </c>
      <c r="C274" s="785"/>
      <c r="D274" s="785"/>
      <c r="E274" s="785"/>
      <c r="F274" s="785"/>
      <c r="G274" s="786"/>
      <c r="H274" s="651">
        <f>G141</f>
        <v>0</v>
      </c>
      <c r="I274" s="793"/>
      <c r="J274" s="793"/>
      <c r="K274" s="1047"/>
      <c r="L274" s="1047"/>
      <c r="M274" s="1048"/>
      <c r="N274" s="433"/>
      <c r="O274" s="433"/>
      <c r="P274" s="433"/>
      <c r="Q274" s="433"/>
      <c r="R274" s="433"/>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row>
    <row r="275" spans="2:84" ht="16.5" customHeight="1">
      <c r="B275" s="784" t="s">
        <v>281</v>
      </c>
      <c r="C275" s="785"/>
      <c r="D275" s="785"/>
      <c r="E275" s="785"/>
      <c r="F275" s="785"/>
      <c r="G275" s="786"/>
      <c r="H275" s="191" t="s">
        <v>108</v>
      </c>
      <c r="I275" s="1127"/>
      <c r="J275" s="1128"/>
      <c r="K275" s="1129" t="str">
        <f>IF(H275="Oui","Les valeurs d'émissions sont à mesurer à teneur en O2 réelle","")</f>
        <v/>
      </c>
      <c r="L275" s="1130"/>
      <c r="M275" s="1131"/>
      <c r="N275" s="433"/>
      <c r="O275" s="433"/>
      <c r="P275" s="433"/>
      <c r="Q275" s="433"/>
      <c r="R275" s="433"/>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row>
    <row r="276" spans="2:84" ht="15.75" customHeight="1">
      <c r="B276" s="784" t="s">
        <v>282</v>
      </c>
      <c r="C276" s="785"/>
      <c r="D276" s="785"/>
      <c r="E276" s="785"/>
      <c r="F276" s="785"/>
      <c r="G276" s="786"/>
      <c r="H276" s="652">
        <f>G142</f>
        <v>0</v>
      </c>
      <c r="I276" s="793"/>
      <c r="J276" s="793"/>
      <c r="K276" s="653" t="str">
        <f>I142</f>
        <v/>
      </c>
      <c r="L276" s="654"/>
      <c r="M276" s="655"/>
      <c r="N276" s="1"/>
      <c r="O276" s="1"/>
      <c r="P276" s="1"/>
      <c r="Q276" s="1"/>
      <c r="R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row>
    <row r="277" spans="2:84" ht="15.6" customHeight="1">
      <c r="B277" s="784" t="s">
        <v>283</v>
      </c>
      <c r="C277" s="785"/>
      <c r="D277" s="785"/>
      <c r="E277" s="785"/>
      <c r="F277" s="785"/>
      <c r="G277" s="786"/>
      <c r="H277" s="652">
        <f>G143</f>
        <v>0</v>
      </c>
      <c r="I277" s="793"/>
      <c r="J277" s="793"/>
      <c r="K277" s="653" t="str">
        <f t="shared" ref="K277:K279" si="21">I143</f>
        <v/>
      </c>
      <c r="L277" s="654"/>
      <c r="M277" s="655"/>
      <c r="O277" s="1"/>
      <c r="P277" s="1"/>
      <c r="Q277" s="1"/>
      <c r="R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row>
    <row r="278" spans="2:84" ht="15.6" customHeight="1">
      <c r="B278" s="784" t="s">
        <v>284</v>
      </c>
      <c r="C278" s="785"/>
      <c r="D278" s="785"/>
      <c r="E278" s="785"/>
      <c r="F278" s="785"/>
      <c r="G278" s="786"/>
      <c r="H278" s="652">
        <v>600</v>
      </c>
      <c r="I278" s="793"/>
      <c r="J278" s="793"/>
      <c r="K278" s="653" t="str">
        <f t="shared" si="21"/>
        <v/>
      </c>
      <c r="L278" s="654"/>
      <c r="M278" s="655"/>
      <c r="N278" s="1"/>
      <c r="O278" s="1"/>
      <c r="P278" s="1"/>
      <c r="Q278" s="1"/>
      <c r="R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row>
    <row r="279" spans="2:84" ht="15.6" customHeight="1" thickBot="1">
      <c r="B279" s="784" t="s">
        <v>285</v>
      </c>
      <c r="C279" s="785"/>
      <c r="D279" s="785"/>
      <c r="E279" s="785"/>
      <c r="F279" s="785"/>
      <c r="G279" s="786"/>
      <c r="H279" s="652">
        <f>G145</f>
        <v>0</v>
      </c>
      <c r="I279" s="793"/>
      <c r="J279" s="793"/>
      <c r="K279" s="653" t="str">
        <f t="shared" si="21"/>
        <v/>
      </c>
      <c r="L279" s="654"/>
      <c r="M279" s="655"/>
      <c r="N279" s="1"/>
      <c r="O279" s="1"/>
      <c r="P279" s="1"/>
      <c r="Q279" s="1"/>
      <c r="R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row>
    <row r="280" spans="2:84" ht="15.75" customHeight="1" thickBot="1">
      <c r="B280" s="787" t="s">
        <v>286</v>
      </c>
      <c r="C280" s="788"/>
      <c r="D280" s="788"/>
      <c r="E280" s="788"/>
      <c r="F280" s="788"/>
      <c r="G280" s="788"/>
      <c r="H280" s="788"/>
      <c r="I280" s="788"/>
      <c r="J280" s="788"/>
      <c r="K280" s="788"/>
      <c r="L280" s="788"/>
      <c r="M280" s="789"/>
      <c r="N280" s="1"/>
      <c r="O280" s="1"/>
      <c r="P280" s="1"/>
      <c r="Q280" s="1"/>
      <c r="R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row>
    <row r="281" spans="2:84" ht="15.75" customHeight="1">
      <c r="B281" s="784" t="s">
        <v>287</v>
      </c>
      <c r="C281" s="785"/>
      <c r="D281" s="785"/>
      <c r="E281" s="785"/>
      <c r="F281" s="785"/>
      <c r="G281" s="786"/>
      <c r="H281" s="656" t="str">
        <f>IF(AND('Fiche projet biomasse'!C211="",'Fiche projet biomasse'!C212="",'Fiche projet biomasse'!C213="",'Fiche projet biomasse'!C215="",'Fiche projet biomasse'!C214=""),"OK","Non")</f>
        <v>Non</v>
      </c>
      <c r="I281" s="805"/>
      <c r="J281" s="805"/>
      <c r="K281" s="1125" t="str">
        <f>IF(H281="non","Critère non respecté","")</f>
        <v>Critère non respecté</v>
      </c>
      <c r="L281" s="1125"/>
      <c r="M281" s="1126"/>
      <c r="N281" s="1"/>
      <c r="O281" s="1"/>
      <c r="P281" s="1"/>
      <c r="Q281" s="1"/>
      <c r="R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row>
    <row r="282" spans="2:84" ht="15.75" customHeight="1">
      <c r="B282" s="1118" t="s">
        <v>183</v>
      </c>
      <c r="C282" s="1119"/>
      <c r="D282" s="1119"/>
      <c r="E282" s="1119"/>
      <c r="F282" s="1119"/>
      <c r="G282" s="1119"/>
      <c r="H282" s="1119"/>
      <c r="I282" s="1120" t="str">
        <f>IF(G219="Pas de réseau de chaleur","Continuer de remplir la fiche plus bas svp","")</f>
        <v>Continuer de remplir la fiche plus bas svp</v>
      </c>
      <c r="J282" s="1121"/>
      <c r="K282" s="725"/>
      <c r="L282" s="725"/>
      <c r="M282" s="726"/>
      <c r="N282" s="1"/>
      <c r="O282" s="1"/>
      <c r="P282" s="1"/>
      <c r="Q282" s="1"/>
      <c r="R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row>
    <row r="283" spans="2:84" ht="15" customHeight="1">
      <c r="B283" s="784" t="s">
        <v>288</v>
      </c>
      <c r="C283" s="785"/>
      <c r="D283" s="785"/>
      <c r="E283" s="785"/>
      <c r="F283" s="785"/>
      <c r="G283" s="786"/>
      <c r="H283" s="191" t="s">
        <v>108</v>
      </c>
      <c r="I283" s="805"/>
      <c r="J283" s="805"/>
      <c r="K283" s="796" t="str">
        <f t="shared" ref="K283:K288" si="22">IF(H283="non","Vérifier ce critère","")</f>
        <v/>
      </c>
      <c r="L283" s="796"/>
      <c r="M283" s="797"/>
      <c r="N283" s="657"/>
      <c r="O283" s="657"/>
      <c r="P283" s="657"/>
      <c r="Q283" s="657"/>
      <c r="R283" s="657"/>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row>
    <row r="284" spans="2:84" ht="15.75" customHeight="1" thickBot="1">
      <c r="B284" s="784" t="s">
        <v>289</v>
      </c>
      <c r="C284" s="785"/>
      <c r="D284" s="785"/>
      <c r="E284" s="785"/>
      <c r="F284" s="785"/>
      <c r="G284" s="786"/>
      <c r="H284" s="191" t="s">
        <v>108</v>
      </c>
      <c r="I284" s="805"/>
      <c r="J284" s="805"/>
      <c r="K284" s="796" t="str">
        <f t="shared" si="22"/>
        <v/>
      </c>
      <c r="L284" s="796"/>
      <c r="M284" s="797"/>
      <c r="N284" s="658"/>
      <c r="O284" s="658"/>
      <c r="P284" s="658"/>
      <c r="Q284" s="658"/>
      <c r="R284" s="658"/>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row>
    <row r="285" spans="2:84" ht="15.75" customHeight="1" thickBot="1">
      <c r="B285" s="784" t="s">
        <v>290</v>
      </c>
      <c r="C285" s="785"/>
      <c r="D285" s="785"/>
      <c r="E285" s="785"/>
      <c r="F285" s="785"/>
      <c r="G285" s="786"/>
      <c r="H285" s="191" t="s">
        <v>108</v>
      </c>
      <c r="I285" s="805"/>
      <c r="J285" s="805"/>
      <c r="K285" s="796" t="str">
        <f t="shared" si="22"/>
        <v/>
      </c>
      <c r="L285" s="796"/>
      <c r="M285" s="797"/>
      <c r="N285" s="658"/>
      <c r="O285" s="658"/>
      <c r="P285" s="658"/>
      <c r="Q285" s="658"/>
      <c r="R285" s="658"/>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row>
    <row r="286" spans="2:84" ht="15.75" customHeight="1" thickBot="1">
      <c r="B286" s="784" t="s">
        <v>291</v>
      </c>
      <c r="C286" s="785"/>
      <c r="D286" s="785"/>
      <c r="E286" s="785"/>
      <c r="F286" s="785"/>
      <c r="G286" s="786"/>
      <c r="H286" s="659" t="str">
        <f>IF(G219="Pas de réseau de chaleur","Non",IF(J237&lt;&gt;"","Non","Oui"))</f>
        <v>Non</v>
      </c>
      <c r="I286" s="805"/>
      <c r="J286" s="805"/>
      <c r="K286" s="796" t="str">
        <f>IF(H286="non","Vérifier ce critère","")</f>
        <v>Vérifier ce critère</v>
      </c>
      <c r="L286" s="796"/>
      <c r="M286" s="797"/>
      <c r="N286" s="658"/>
      <c r="O286" s="658"/>
      <c r="P286" s="658"/>
      <c r="Q286" s="658"/>
      <c r="R286" s="658"/>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row>
    <row r="287" spans="2:84" ht="15.75" customHeight="1" thickBot="1">
      <c r="B287" s="784" t="s">
        <v>292</v>
      </c>
      <c r="C287" s="785"/>
      <c r="D287" s="785"/>
      <c r="E287" s="785"/>
      <c r="F287" s="785"/>
      <c r="G287" s="786"/>
      <c r="H287" s="659" t="str">
        <f>IF(G219="Pas de réseau de chaleur","Non",IF(J232&lt;&gt;"","Non","Oui"))</f>
        <v>Non</v>
      </c>
      <c r="I287" s="804"/>
      <c r="J287" s="804"/>
      <c r="K287" s="796" t="str">
        <f t="shared" si="22"/>
        <v>Vérifier ce critère</v>
      </c>
      <c r="L287" s="796"/>
      <c r="M287" s="797"/>
      <c r="N287" s="658"/>
      <c r="O287" s="658"/>
      <c r="P287" s="658"/>
      <c r="Q287" s="658"/>
      <c r="R287" s="658"/>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row>
    <row r="288" spans="2:84" ht="15.75" customHeight="1" thickBot="1">
      <c r="B288" s="784" t="s">
        <v>293</v>
      </c>
      <c r="C288" s="785"/>
      <c r="D288" s="785"/>
      <c r="E288" s="785"/>
      <c r="F288" s="785"/>
      <c r="G288" s="786"/>
      <c r="H288" s="659" t="str">
        <f>IF(J238&lt;&gt;"","Non","Oui")</f>
        <v>Oui</v>
      </c>
      <c r="I288" s="804"/>
      <c r="J288" s="804"/>
      <c r="K288" s="796" t="str">
        <f t="shared" si="22"/>
        <v/>
      </c>
      <c r="L288" s="796"/>
      <c r="M288" s="797"/>
      <c r="N288" s="658"/>
      <c r="O288" s="658"/>
      <c r="P288" s="658"/>
      <c r="Q288" s="658"/>
      <c r="R288" s="658"/>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row>
    <row r="289" spans="1:84" ht="15.75" customHeight="1" thickBot="1">
      <c r="B289" s="784" t="s">
        <v>294</v>
      </c>
      <c r="C289" s="785"/>
      <c r="D289" s="785"/>
      <c r="E289" s="785"/>
      <c r="F289" s="785"/>
      <c r="G289" s="786"/>
      <c r="H289" s="191" t="s">
        <v>108</v>
      </c>
      <c r="I289" s="804"/>
      <c r="J289" s="804"/>
      <c r="K289" s="796" t="str">
        <f t="shared" ref="K289" si="23">IF(H289="non","Vérifier ce critère","")</f>
        <v/>
      </c>
      <c r="L289" s="796"/>
      <c r="M289" s="797"/>
      <c r="N289" s="658"/>
      <c r="O289" s="658"/>
      <c r="P289" s="658"/>
      <c r="Q289" s="658"/>
      <c r="R289" s="658"/>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row>
    <row r="290" spans="1:84" ht="15.75" customHeight="1" thickBot="1">
      <c r="B290" s="784" t="s">
        <v>295</v>
      </c>
      <c r="C290" s="785"/>
      <c r="D290" s="785"/>
      <c r="E290" s="785"/>
      <c r="F290" s="785"/>
      <c r="G290" s="786"/>
      <c r="H290" s="191" t="s">
        <v>108</v>
      </c>
      <c r="I290" s="804"/>
      <c r="J290" s="804"/>
      <c r="K290" s="796" t="str">
        <f t="shared" ref="K290" si="24">IF(H290="non","Vérifier ce critère","")</f>
        <v/>
      </c>
      <c r="L290" s="796"/>
      <c r="M290" s="797"/>
      <c r="N290" s="658"/>
      <c r="O290" s="658"/>
      <c r="P290" s="658"/>
      <c r="Q290" s="658"/>
      <c r="R290" s="658"/>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row>
    <row r="291" spans="1:84" ht="15.75" customHeight="1">
      <c r="B291" s="784" t="s">
        <v>296</v>
      </c>
      <c r="C291" s="785"/>
      <c r="D291" s="785"/>
      <c r="E291" s="785"/>
      <c r="F291" s="785"/>
      <c r="G291" s="786"/>
      <c r="H291" s="191" t="s">
        <v>108</v>
      </c>
      <c r="I291" s="698"/>
      <c r="J291" s="698"/>
      <c r="K291" s="648"/>
      <c r="L291" s="648"/>
      <c r="M291" s="649"/>
      <c r="N291" s="658"/>
      <c r="O291" s="658"/>
      <c r="P291" s="658"/>
      <c r="Q291" s="658"/>
      <c r="R291" s="658"/>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row>
    <row r="292" spans="1:84" ht="31.5" customHeight="1">
      <c r="B292" s="983" t="s">
        <v>297</v>
      </c>
      <c r="C292" s="984"/>
      <c r="D292" s="984"/>
      <c r="E292" s="984"/>
      <c r="F292" s="984"/>
      <c r="G292" s="985"/>
      <c r="H292" s="191" t="s">
        <v>108</v>
      </c>
      <c r="I292" s="804"/>
      <c r="J292" s="804"/>
      <c r="K292" s="796" t="str">
        <f t="shared" ref="K292" si="25">IF(H292="non","Vérifier ce critère","")</f>
        <v/>
      </c>
      <c r="L292" s="796"/>
      <c r="M292" s="797"/>
      <c r="N292" s="658"/>
      <c r="O292" s="658"/>
      <c r="P292" s="658"/>
      <c r="Q292" s="658"/>
      <c r="R292" s="658"/>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row>
    <row r="293" spans="1:84" ht="33" customHeight="1">
      <c r="B293" s="660"/>
      <c r="C293" s="660"/>
      <c r="D293" s="660"/>
      <c r="E293" s="660"/>
      <c r="F293" s="660"/>
      <c r="G293" s="660"/>
      <c r="H293" s="661"/>
      <c r="I293" s="103"/>
      <c r="J293" s="103"/>
      <c r="K293" s="662"/>
      <c r="L293" s="662"/>
      <c r="M293" s="662"/>
      <c r="N293" s="658"/>
      <c r="O293" s="658"/>
      <c r="P293" s="658"/>
      <c r="Q293" s="658"/>
      <c r="R293" s="658"/>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row>
    <row r="294" spans="1:84" ht="33" customHeight="1">
      <c r="B294" s="660"/>
      <c r="C294" s="660"/>
      <c r="D294" s="660"/>
      <c r="E294" s="660"/>
      <c r="F294" s="660"/>
      <c r="G294" s="660"/>
      <c r="H294" s="661"/>
      <c r="I294" s="103"/>
      <c r="J294" s="103"/>
      <c r="K294" s="662"/>
      <c r="L294" s="662"/>
      <c r="M294" s="662"/>
      <c r="N294" s="658"/>
      <c r="O294" s="658"/>
      <c r="P294" s="658"/>
      <c r="Q294" s="658"/>
      <c r="R294" s="658"/>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row>
    <row r="295" spans="1:84" ht="15" customHeight="1" thickBot="1">
      <c r="A295" s="663"/>
      <c r="B295" s="980" t="s">
        <v>298</v>
      </c>
      <c r="C295" s="981"/>
      <c r="D295" s="981"/>
      <c r="E295" s="981"/>
      <c r="F295" s="981"/>
      <c r="G295" s="981"/>
      <c r="H295" s="981"/>
      <c r="I295" s="981"/>
      <c r="J295" s="981"/>
      <c r="K295" s="981"/>
      <c r="L295" s="981"/>
      <c r="M295" s="982"/>
      <c r="N295" s="658"/>
      <c r="O295" s="664"/>
      <c r="P295" s="664"/>
      <c r="Q295" s="664"/>
      <c r="R295" s="664"/>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row>
    <row r="296" spans="1:84" ht="45" customHeight="1" thickBot="1">
      <c r="A296" s="663"/>
      <c r="B296" s="798" t="s">
        <v>299</v>
      </c>
      <c r="C296" s="799"/>
      <c r="D296" s="799"/>
      <c r="E296" s="665" t="s">
        <v>300</v>
      </c>
      <c r="F296" s="666" t="s">
        <v>301</v>
      </c>
      <c r="G296" s="666" t="s">
        <v>302</v>
      </c>
      <c r="H296" s="667" t="s">
        <v>303</v>
      </c>
      <c r="I296" s="668"/>
      <c r="J296" s="668"/>
      <c r="K296" s="668"/>
      <c r="L296" s="668"/>
      <c r="M296" s="668"/>
      <c r="N296" s="664"/>
      <c r="O296" s="664"/>
      <c r="P296" s="664"/>
      <c r="Q296" s="664"/>
      <c r="R296" s="664"/>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row>
    <row r="297" spans="1:84" ht="15" thickBot="1">
      <c r="A297" s="663"/>
      <c r="B297" s="800" t="s">
        <v>304</v>
      </c>
      <c r="C297" s="800"/>
      <c r="D297" s="801"/>
      <c r="E297" s="228"/>
      <c r="F297" s="669" t="e">
        <f t="shared" ref="F297:F304" si="26">E297/$E$305</f>
        <v>#DIV/0!</v>
      </c>
      <c r="G297" s="699" t="s">
        <v>305</v>
      </c>
      <c r="H297" s="670" t="s">
        <v>306</v>
      </c>
      <c r="I297" s="671"/>
      <c r="J297" s="671"/>
      <c r="K297" s="671"/>
      <c r="L297" s="672"/>
      <c r="M297" s="673"/>
      <c r="N297" s="664"/>
      <c r="O297" s="664"/>
      <c r="P297" s="664"/>
      <c r="Q297" s="664"/>
      <c r="R297" s="664"/>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row>
    <row r="298" spans="1:84" ht="15" customHeight="1" thickBot="1">
      <c r="B298" s="800" t="s">
        <v>307</v>
      </c>
      <c r="C298" s="800"/>
      <c r="D298" s="801"/>
      <c r="E298" s="674">
        <f>SUM(E299:E304)</f>
        <v>0</v>
      </c>
      <c r="F298" s="669" t="e">
        <f t="shared" si="26"/>
        <v>#DIV/0!</v>
      </c>
      <c r="G298" s="699"/>
      <c r="H298" s="675" t="s">
        <v>308</v>
      </c>
      <c r="I298" s="201">
        <f>IFERROR(subvention_ADEME,"")</f>
        <v>0</v>
      </c>
      <c r="J298" s="676" t="s">
        <v>309</v>
      </c>
      <c r="K298" s="201">
        <f>IFERROR(subvention_ADEMEr,"")</f>
        <v>0</v>
      </c>
      <c r="M298" s="677"/>
      <c r="N298" s="664"/>
      <c r="O298" s="664"/>
      <c r="P298" s="664"/>
      <c r="Q298" s="664"/>
      <c r="R298" s="664"/>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row>
    <row r="299" spans="1:84" ht="15" customHeight="1" thickBot="1">
      <c r="B299" s="794" t="s">
        <v>310</v>
      </c>
      <c r="C299" s="794"/>
      <c r="D299" s="795"/>
      <c r="E299" s="733">
        <f>MIN(sub_ADEME,H300)</f>
        <v>0</v>
      </c>
      <c r="F299" s="669" t="e">
        <f>E299/$E$305</f>
        <v>#DIV/0!</v>
      </c>
      <c r="G299" s="699"/>
      <c r="H299" s="1114" t="str">
        <f>IF(G28="non","Cumul d'aides publiques max autorisé : ",IF(AND(OR(G219="Création",G219="Extension"),G220='Menus biomasse'!AO6), "Plafond max d'aide par l'article 46 du RGEC :","Plafond max d'aide selon l'article 41 du RGEC "))</f>
        <v xml:space="preserve">Plafond max d'aide selon l'article 41 du RGEC </v>
      </c>
      <c r="I299" s="1115"/>
      <c r="J299" s="681" t="str">
        <f>IF('Fiche projet biomasse'!G222="Article 46",'Simulation FC'!E39,"")</f>
        <v/>
      </c>
      <c r="K299" s="671"/>
      <c r="L299" s="1116" t="s">
        <v>812</v>
      </c>
      <c r="M299" s="1117"/>
      <c r="N299" s="664"/>
      <c r="O299" s="664"/>
      <c r="P299" s="664"/>
      <c r="Q299" s="664"/>
      <c r="R299" s="664"/>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row>
    <row r="300" spans="1:84" ht="15" customHeight="1">
      <c r="B300" s="794" t="s">
        <v>311</v>
      </c>
      <c r="C300" s="794"/>
      <c r="D300" s="795"/>
      <c r="E300" s="229"/>
      <c r="F300" s="669" t="e">
        <f t="shared" si="26"/>
        <v>#DIV/0!</v>
      </c>
      <c r="G300" s="699"/>
      <c r="H300" s="679" t="str">
        <f>IF(G28="Non",0.8*(F174-F166),IF(AND(OR(G219="Création",G219="Extension"),G220='Menus biomasse'!AO6),MAX('Calcul déficit de financement'!A43,IF(J28="petite",IF(I232=1,0.65,0.5)*(F174-F166),IF(J28="moyenne",IF(I232=1,0.55,0.4)*(F174-F166),IF(J28="grande",IF(I232=1,0.45,0.3)*(F174-F166),"erreur")))),IF(J28="petite",0.65*(F174-F166),IF(J28="moyenne",0.55*(F174-F166),IF(J28="grande",0.45*(F174-F166),"erreur")))))</f>
        <v>erreur</v>
      </c>
      <c r="I300"/>
      <c r="J300" s="671"/>
      <c r="K300" s="671"/>
      <c r="L300" s="734" t="str">
        <f>IF(AND(OR(G219="Création",G219="Extension"),G220='Menus biomasse'!AO6),"VAN recette sans aide","")</f>
        <v/>
      </c>
      <c r="M300" s="735" t="str">
        <f>IF(AND(OR(G219="Création",G219="Extension"),G220='Menus biomasse'!AO6),-'Calcul déficit de financement'!A43,"")</f>
        <v/>
      </c>
      <c r="N300" s="664"/>
      <c r="O300" s="664"/>
      <c r="P300" s="664"/>
      <c r="Q300" s="664"/>
      <c r="R300" s="664"/>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row>
    <row r="301" spans="1:84" ht="15" customHeight="1" thickBot="1">
      <c r="B301" s="794" t="s">
        <v>312</v>
      </c>
      <c r="C301" s="794"/>
      <c r="D301" s="795"/>
      <c r="E301" s="229"/>
      <c r="F301" s="669" t="e">
        <f t="shared" si="26"/>
        <v>#DIV/0!</v>
      </c>
      <c r="G301" s="699"/>
      <c r="H301" s="671"/>
      <c r="I301" s="671"/>
      <c r="J301" s="671"/>
      <c r="K301" s="671"/>
      <c r="L301" s="734" t="str">
        <f>IF(AND(OR(G219="Création",G219="Extension"),G220='Menus biomasse'!AO6),"VAN recette avec aide","")</f>
        <v/>
      </c>
      <c r="M301" s="735" t="str">
        <f>IF(AND(OR(G219="Création",G219="Extension"),G220='Menus biomasse'!AO6),NPV(0.0747,'Calcul déficit de financement'!B40:U40),"")</f>
        <v/>
      </c>
      <c r="N301" s="664"/>
      <c r="O301" s="664"/>
      <c r="P301" s="664"/>
      <c r="Q301" s="664"/>
      <c r="R301" s="664"/>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row>
    <row r="302" spans="1:84" ht="15" customHeight="1" thickBot="1">
      <c r="B302" s="794" t="s">
        <v>313</v>
      </c>
      <c r="C302" s="794"/>
      <c r="D302" s="795"/>
      <c r="E302" s="229">
        <v>0</v>
      </c>
      <c r="F302" s="669" t="e">
        <f t="shared" si="26"/>
        <v>#DIV/0!</v>
      </c>
      <c r="G302" s="700"/>
      <c r="H302" s="1076" t="s">
        <v>314</v>
      </c>
      <c r="I302" s="1077"/>
      <c r="J302" s="680" t="str">
        <f>IF(E298&lt;=H300,"OK","A revoir")</f>
        <v>OK</v>
      </c>
      <c r="L302" s="734" t="s">
        <v>811</v>
      </c>
      <c r="M302" s="735">
        <f>'Simulation FC'!C38</f>
        <v>0</v>
      </c>
      <c r="N302" s="664"/>
      <c r="O302" s="664"/>
      <c r="P302" s="664"/>
      <c r="Q302" s="664"/>
      <c r="R302" s="664"/>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row>
    <row r="303" spans="1:84" ht="15" customHeight="1">
      <c r="B303" s="794" t="s">
        <v>315</v>
      </c>
      <c r="C303" s="794"/>
      <c r="D303" s="795"/>
      <c r="E303" s="230">
        <v>0</v>
      </c>
      <c r="F303" s="669" t="e">
        <f t="shared" si="26"/>
        <v>#DIV/0!</v>
      </c>
      <c r="G303" s="699"/>
      <c r="H303" s="671"/>
      <c r="I303" s="671"/>
      <c r="J303" s="671"/>
      <c r="K303" s="671"/>
      <c r="L303" s="671"/>
      <c r="M303" s="678"/>
      <c r="N303" s="664"/>
      <c r="O303" s="664"/>
      <c r="P303" s="664"/>
      <c r="Q303" s="664"/>
      <c r="R303" s="664"/>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row>
    <row r="304" spans="1:84" ht="15" customHeight="1" thickBot="1">
      <c r="B304" s="1039" t="s">
        <v>316</v>
      </c>
      <c r="C304" s="1039"/>
      <c r="D304" s="1040"/>
      <c r="E304" s="231">
        <v>0</v>
      </c>
      <c r="F304" s="669" t="e">
        <f t="shared" si="26"/>
        <v>#DIV/0!</v>
      </c>
      <c r="G304" s="701"/>
      <c r="H304" s="671"/>
      <c r="I304" s="671"/>
      <c r="J304" s="671"/>
      <c r="K304" s="671"/>
      <c r="L304" s="682"/>
      <c r="M304" s="678"/>
      <c r="N304" s="664"/>
      <c r="O304" s="664"/>
      <c r="P304" s="664"/>
      <c r="Q304" s="664"/>
      <c r="R304" s="664"/>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row>
    <row r="305" spans="2:84" ht="15" thickBot="1">
      <c r="B305" s="778" t="s">
        <v>317</v>
      </c>
      <c r="C305" s="779"/>
      <c r="D305" s="780"/>
      <c r="E305" s="683">
        <f>E297+E298</f>
        <v>0</v>
      </c>
      <c r="F305" s="781" t="str">
        <f>IF(E305&lt;&gt;F174,"Vous n'avez pas le même investissement dans le tableau 3"," ")</f>
        <v xml:space="preserve"> </v>
      </c>
      <c r="G305" s="782"/>
      <c r="H305" s="782"/>
      <c r="I305" s="782"/>
      <c r="J305" s="782"/>
      <c r="K305" s="782"/>
      <c r="L305" s="782"/>
      <c r="M305" s="783"/>
      <c r="N305" s="1"/>
      <c r="O305" s="1"/>
      <c r="P305" s="1"/>
      <c r="Q305" s="1"/>
      <c r="R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row>
    <row r="306" spans="2:84">
      <c r="B306" s="1"/>
      <c r="C306" s="1"/>
      <c r="D306" s="1"/>
      <c r="E306" s="1"/>
      <c r="F306" s="1"/>
      <c r="G306" s="1"/>
      <c r="H306" s="1"/>
      <c r="I306" s="1"/>
      <c r="J306" s="1"/>
      <c r="K306" s="1"/>
      <c r="L306" s="1"/>
      <c r="M306" s="1"/>
      <c r="N306" s="1"/>
      <c r="O306" s="1"/>
      <c r="P306" s="1"/>
      <c r="Q306" s="1"/>
      <c r="R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row>
    <row r="307" spans="2:84" ht="15" thickBot="1">
      <c r="B307" s="202" t="s">
        <v>318</v>
      </c>
      <c r="C307" s="202"/>
      <c r="D307" s="202"/>
      <c r="E307" s="202"/>
      <c r="F307" s="202"/>
      <c r="G307" s="202"/>
      <c r="H307" s="202"/>
      <c r="I307" s="202"/>
      <c r="J307" s="202"/>
      <c r="K307" s="202"/>
      <c r="L307" s="202"/>
      <c r="M307" s="202"/>
      <c r="N307" s="202"/>
      <c r="O307" s="4"/>
      <c r="P307" s="4"/>
      <c r="Q307" s="4"/>
      <c r="R307" s="4"/>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row>
    <row r="308" spans="2:84" ht="94.2" thickBot="1">
      <c r="B308" s="196"/>
      <c r="C308" s="684" t="s">
        <v>29</v>
      </c>
      <c r="D308" s="684" t="s">
        <v>319</v>
      </c>
      <c r="E308" s="684" t="s">
        <v>26</v>
      </c>
      <c r="F308" s="684" t="s">
        <v>320</v>
      </c>
      <c r="G308" s="684" t="s">
        <v>321</v>
      </c>
      <c r="H308" s="684" t="s">
        <v>322</v>
      </c>
      <c r="I308" s="684" t="s">
        <v>323</v>
      </c>
      <c r="J308" s="684" t="s">
        <v>41</v>
      </c>
      <c r="K308" s="684" t="s">
        <v>324</v>
      </c>
      <c r="L308" s="684" t="s">
        <v>325</v>
      </c>
      <c r="M308" s="684" t="s">
        <v>326</v>
      </c>
      <c r="N308" s="685" t="s">
        <v>327</v>
      </c>
      <c r="O308" s="686" t="s">
        <v>328</v>
      </c>
      <c r="P308" s="684" t="s">
        <v>329</v>
      </c>
      <c r="Q308" s="684" t="s">
        <v>330</v>
      </c>
      <c r="R308" s="684" t="s">
        <v>331</v>
      </c>
      <c r="S308" s="685" t="s">
        <v>332</v>
      </c>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row>
    <row r="309" spans="2:84">
      <c r="B309" s="196"/>
      <c r="C309" s="687">
        <f>G21</f>
        <v>0</v>
      </c>
      <c r="D309" s="688">
        <f>F37</f>
        <v>0</v>
      </c>
      <c r="E309" s="688">
        <f>G19</f>
        <v>0</v>
      </c>
      <c r="F309" s="688">
        <f>G20</f>
        <v>0</v>
      </c>
      <c r="G309" s="688" t="s">
        <v>333</v>
      </c>
      <c r="H309" s="688" t="s">
        <v>334</v>
      </c>
      <c r="I309" s="688">
        <f>Prod_biomasse</f>
        <v>0</v>
      </c>
      <c r="J309" s="688">
        <f>G29</f>
        <v>0</v>
      </c>
      <c r="K309" s="689">
        <f>F174</f>
        <v>0</v>
      </c>
      <c r="L309" s="690">
        <f>E299</f>
        <v>0</v>
      </c>
      <c r="M309" s="690">
        <f>SUM(E300:E304)</f>
        <v>0</v>
      </c>
      <c r="N309" s="691">
        <f>I309*0.201</f>
        <v>0</v>
      </c>
      <c r="O309" s="688" t="str">
        <f>_xlfn.XLOOKUP(MAX(D199:D204),D199:D204,A199:A204)</f>
        <v>Plaquettes</v>
      </c>
      <c r="P309" s="692" t="str">
        <f>IF(G219="Création",I225,"")</f>
        <v/>
      </c>
      <c r="Q309" s="688" t="str">
        <f>IF(G219="Extension",I225,"")</f>
        <v/>
      </c>
      <c r="R309" s="693">
        <f>I298</f>
        <v>0</v>
      </c>
      <c r="S309" s="693">
        <f>K298</f>
        <v>0</v>
      </c>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row>
    <row r="310" spans="2:84">
      <c r="B310" s="202"/>
      <c r="C310" s="202"/>
      <c r="D310" s="202"/>
      <c r="E310" s="202"/>
      <c r="F310" s="202"/>
      <c r="G310" s="202"/>
      <c r="H310" s="202"/>
      <c r="I310" s="202"/>
      <c r="J310" s="202"/>
      <c r="K310" s="202"/>
      <c r="L310" s="202"/>
      <c r="M310" s="202"/>
      <c r="N310" s="202"/>
      <c r="O310" s="1"/>
      <c r="P310" s="1"/>
      <c r="Q310" s="1"/>
      <c r="R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row>
    <row r="311" spans="2:84">
      <c r="B311" s="202"/>
      <c r="C311" s="202"/>
      <c r="D311" s="202"/>
      <c r="E311" s="202"/>
      <c r="F311" s="202"/>
      <c r="G311" s="202"/>
      <c r="H311" s="202"/>
      <c r="I311" s="202"/>
      <c r="J311" s="202"/>
      <c r="K311" s="202"/>
      <c r="L311" s="202"/>
      <c r="M311" s="202"/>
      <c r="N311" s="202"/>
      <c r="O311" s="1"/>
      <c r="P311" s="1"/>
      <c r="Q311" s="1"/>
      <c r="R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row>
    <row r="312" spans="2:84">
      <c r="B312" s="196"/>
      <c r="C312" s="196"/>
      <c r="D312" s="196"/>
      <c r="E312" s="196"/>
      <c r="F312" s="196"/>
      <c r="G312" s="196"/>
      <c r="H312" s="196"/>
      <c r="I312" s="196"/>
      <c r="J312" s="196"/>
      <c r="K312" s="196"/>
      <c r="L312" s="1"/>
      <c r="M312" s="1"/>
      <c r="N312" s="1"/>
      <c r="O312" s="1"/>
      <c r="P312" s="1"/>
      <c r="Q312" s="1"/>
      <c r="R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row>
    <row r="313" spans="2:84">
      <c r="B313" s="196"/>
      <c r="C313" s="196"/>
      <c r="D313" s="196"/>
      <c r="E313" s="196"/>
      <c r="F313" s="196"/>
      <c r="G313" s="196"/>
      <c r="H313" s="196"/>
      <c r="I313" s="196"/>
      <c r="J313" s="196"/>
      <c r="K313" s="196"/>
      <c r="L313" s="1"/>
      <c r="M313" s="1"/>
      <c r="N313" s="1"/>
      <c r="O313" s="1"/>
      <c r="P313" s="1"/>
      <c r="Q313" s="1"/>
      <c r="R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row>
    <row r="314" spans="2:84">
      <c r="B314" s="196"/>
      <c r="C314" s="196"/>
      <c r="D314" s="196"/>
      <c r="E314" s="196"/>
      <c r="F314" s="196"/>
      <c r="G314" s="196"/>
      <c r="H314" s="196"/>
      <c r="I314" s="196"/>
      <c r="J314" s="196"/>
      <c r="K314" s="196"/>
      <c r="L314" s="1"/>
      <c r="M314" s="1"/>
      <c r="N314" s="1"/>
      <c r="O314" s="1"/>
      <c r="P314" s="1"/>
      <c r="Q314" s="1"/>
      <c r="R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row>
    <row r="315" spans="2:84">
      <c r="B315" s="196"/>
      <c r="C315" s="196"/>
      <c r="D315" s="196"/>
      <c r="E315" s="196"/>
      <c r="F315" s="196"/>
      <c r="G315" s="196"/>
      <c r="H315" s="196"/>
      <c r="I315" s="196"/>
      <c r="J315" s="196"/>
      <c r="K315" s="196"/>
      <c r="L315" s="1"/>
      <c r="M315" s="1"/>
      <c r="N315" s="1"/>
      <c r="O315" s="1"/>
      <c r="P315" s="1"/>
      <c r="Q315" s="1"/>
      <c r="R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row>
    <row r="316" spans="2:84">
      <c r="B316" s="196"/>
      <c r="C316" s="196"/>
      <c r="D316" s="196"/>
      <c r="E316" s="196"/>
      <c r="F316" s="196"/>
      <c r="G316" s="196"/>
      <c r="H316" s="196"/>
      <c r="I316" s="196"/>
      <c r="J316" s="196"/>
      <c r="K316" s="196"/>
      <c r="L316" s="1"/>
      <c r="M316" s="1"/>
      <c r="N316" s="1"/>
      <c r="O316" s="1"/>
      <c r="P316" s="1"/>
      <c r="Q316" s="1"/>
      <c r="R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row>
    <row r="317" spans="2:84">
      <c r="B317" s="196"/>
      <c r="C317" s="196"/>
      <c r="D317" s="196"/>
      <c r="E317" s="196"/>
      <c r="F317" s="196"/>
      <c r="G317" s="196"/>
      <c r="H317" s="196"/>
      <c r="I317" s="196"/>
      <c r="J317" s="196"/>
      <c r="K317" s="196"/>
      <c r="L317" s="1"/>
      <c r="M317" s="1"/>
      <c r="N317" s="1"/>
      <c r="O317" s="1"/>
      <c r="P317" s="1"/>
      <c r="Q317" s="1"/>
      <c r="R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row>
    <row r="318" spans="2:84">
      <c r="B318" s="196"/>
      <c r="C318" s="196"/>
      <c r="D318" s="196"/>
      <c r="E318" s="196"/>
      <c r="F318" s="196"/>
      <c r="G318" s="196"/>
      <c r="H318" s="196"/>
      <c r="I318" s="196"/>
      <c r="J318" s="196"/>
      <c r="K318" s="196"/>
      <c r="L318" s="1"/>
      <c r="M318" s="1"/>
      <c r="N318" s="1"/>
      <c r="O318" s="1"/>
      <c r="P318" s="1"/>
      <c r="Q318" s="1"/>
      <c r="R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row>
    <row r="319" spans="2:84">
      <c r="B319" s="196"/>
      <c r="C319" s="196"/>
      <c r="D319" s="196"/>
      <c r="E319" s="196"/>
      <c r="F319" s="196"/>
      <c r="G319" s="196"/>
      <c r="H319" s="196"/>
      <c r="I319" s="196"/>
      <c r="J319" s="196"/>
      <c r="K319" s="196"/>
      <c r="L319" s="1"/>
      <c r="M319" s="1"/>
      <c r="N319" s="1"/>
      <c r="O319" s="1"/>
      <c r="P319" s="1"/>
      <c r="Q319" s="1"/>
      <c r="R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row>
    <row r="320" spans="2:84">
      <c r="B320" s="196"/>
      <c r="C320" s="196"/>
      <c r="D320" s="196"/>
      <c r="E320" s="196"/>
      <c r="F320" s="196"/>
      <c r="G320" s="196"/>
      <c r="H320" s="196"/>
      <c r="I320" s="196"/>
      <c r="J320" s="196"/>
      <c r="K320" s="196"/>
      <c r="L320" s="1"/>
      <c r="M320" s="1"/>
      <c r="N320" s="1"/>
      <c r="O320" s="1"/>
      <c r="P320" s="1"/>
      <c r="Q320" s="1"/>
      <c r="R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row>
    <row r="321" spans="2:84">
      <c r="B321" s="196"/>
      <c r="C321" s="196"/>
      <c r="D321" s="196"/>
      <c r="E321" s="196"/>
      <c r="F321" s="196"/>
      <c r="G321" s="196"/>
      <c r="H321" s="196"/>
      <c r="I321" s="196"/>
      <c r="J321" s="196"/>
      <c r="K321" s="196"/>
      <c r="L321" s="1"/>
      <c r="M321" s="1"/>
      <c r="N321" s="1"/>
      <c r="O321" s="1"/>
      <c r="P321" s="1"/>
      <c r="Q321" s="1"/>
      <c r="R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row>
    <row r="322" spans="2:84">
      <c r="B322" s="196"/>
      <c r="C322" s="196"/>
      <c r="D322" s="196"/>
      <c r="E322" s="196"/>
      <c r="F322" s="196"/>
      <c r="G322" s="196"/>
      <c r="H322" s="196"/>
      <c r="I322" s="196"/>
      <c r="J322" s="196"/>
      <c r="K322" s="196"/>
      <c r="L322" s="1"/>
      <c r="M322" s="1"/>
      <c r="N322" s="1"/>
      <c r="O322" s="1"/>
      <c r="P322" s="1"/>
      <c r="Q322" s="1"/>
      <c r="R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row>
    <row r="323" spans="2:84">
      <c r="B323" s="196"/>
      <c r="C323" s="196"/>
      <c r="D323" s="196"/>
      <c r="E323" s="196"/>
      <c r="F323" s="196"/>
      <c r="G323" s="196"/>
      <c r="H323" s="196"/>
      <c r="I323" s="196"/>
      <c r="J323" s="196"/>
      <c r="K323" s="196"/>
      <c r="L323" s="1"/>
      <c r="M323" s="1"/>
      <c r="N323" s="1"/>
      <c r="O323" s="1"/>
      <c r="P323" s="1"/>
      <c r="Q323" s="1"/>
      <c r="R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row>
    <row r="324" spans="2:84">
      <c r="B324" s="196"/>
      <c r="C324" s="196"/>
      <c r="D324" s="196"/>
      <c r="E324" s="196"/>
      <c r="F324" s="196"/>
      <c r="G324" s="196"/>
      <c r="H324" s="196"/>
      <c r="I324" s="196"/>
      <c r="J324" s="196"/>
      <c r="K324" s="196"/>
      <c r="L324" s="1"/>
      <c r="M324" s="1"/>
      <c r="N324" s="1"/>
      <c r="O324" s="1"/>
      <c r="P324" s="1"/>
      <c r="Q324" s="1"/>
      <c r="R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row>
    <row r="325" spans="2:84">
      <c r="B325" s="196"/>
      <c r="C325" s="196"/>
      <c r="D325" s="196"/>
      <c r="E325" s="196"/>
      <c r="F325" s="196"/>
      <c r="G325" s="196"/>
      <c r="H325" s="196"/>
      <c r="I325" s="196"/>
      <c r="J325" s="196"/>
      <c r="K325" s="196"/>
      <c r="L325" s="1"/>
      <c r="M325" s="1"/>
      <c r="N325" s="1"/>
      <c r="O325" s="1"/>
      <c r="P325" s="1"/>
      <c r="Q325" s="1"/>
      <c r="R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row>
    <row r="326" spans="2:84">
      <c r="B326" s="196"/>
      <c r="C326" s="196"/>
      <c r="D326" s="196"/>
      <c r="E326" s="196"/>
      <c r="F326" s="196"/>
      <c r="G326" s="196"/>
      <c r="H326" s="196"/>
      <c r="I326" s="196"/>
      <c r="J326" s="196"/>
      <c r="K326" s="196"/>
      <c r="L326" s="1"/>
      <c r="M326" s="1"/>
      <c r="N326" s="1"/>
      <c r="O326" s="1"/>
      <c r="P326" s="1"/>
      <c r="Q326" s="1"/>
      <c r="R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row>
    <row r="327" spans="2:84">
      <c r="B327" s="196"/>
      <c r="C327" s="196"/>
      <c r="D327" s="196"/>
      <c r="E327" s="196"/>
      <c r="F327" s="196"/>
      <c r="G327" s="196"/>
      <c r="H327" s="196"/>
      <c r="I327" s="196"/>
      <c r="J327" s="196"/>
      <c r="K327" s="196"/>
      <c r="L327" s="1"/>
      <c r="M327" s="1"/>
      <c r="N327" s="1"/>
      <c r="O327" s="1"/>
      <c r="P327" s="1"/>
      <c r="Q327" s="1"/>
      <c r="R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row>
    <row r="328" spans="2:84">
      <c r="B328" s="196"/>
      <c r="C328" s="196"/>
      <c r="D328" s="196"/>
      <c r="E328" s="196"/>
      <c r="F328" s="196"/>
      <c r="G328" s="196"/>
      <c r="H328" s="196"/>
      <c r="I328" s="196"/>
      <c r="J328" s="196"/>
      <c r="K328" s="196"/>
      <c r="L328" s="1"/>
      <c r="M328" s="1"/>
      <c r="N328" s="1"/>
      <c r="O328" s="1"/>
      <c r="P328" s="1"/>
      <c r="Q328" s="1"/>
      <c r="R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row>
    <row r="329" spans="2:84">
      <c r="B329" s="196"/>
      <c r="C329" s="196"/>
      <c r="D329" s="196"/>
      <c r="E329" s="196"/>
      <c r="F329" s="196"/>
      <c r="G329" s="196"/>
      <c r="H329" s="196"/>
      <c r="I329" s="196"/>
      <c r="J329" s="196"/>
      <c r="K329" s="196"/>
      <c r="L329" s="1"/>
      <c r="M329" s="1"/>
      <c r="N329" s="1"/>
      <c r="O329" s="1"/>
      <c r="P329" s="1"/>
      <c r="Q329" s="1"/>
      <c r="R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row>
    <row r="330" spans="2:84">
      <c r="B330" s="196"/>
      <c r="C330" s="196"/>
      <c r="D330" s="196"/>
      <c r="E330" s="196"/>
      <c r="F330" s="196"/>
      <c r="G330" s="196"/>
      <c r="H330" s="196"/>
      <c r="I330" s="196"/>
      <c r="J330" s="196"/>
      <c r="K330" s="196"/>
      <c r="L330" s="1"/>
      <c r="M330" s="1"/>
      <c r="N330" s="1"/>
      <c r="O330" s="1"/>
      <c r="P330" s="1"/>
      <c r="Q330" s="1"/>
      <c r="R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row>
    <row r="331" spans="2:84">
      <c r="B331" s="196"/>
      <c r="C331" s="196"/>
      <c r="D331" s="196"/>
      <c r="E331" s="196"/>
      <c r="F331" s="196"/>
      <c r="G331" s="196"/>
      <c r="H331" s="196"/>
      <c r="I331" s="196"/>
      <c r="J331" s="196"/>
      <c r="K331" s="196"/>
      <c r="L331" s="1"/>
      <c r="M331" s="1"/>
      <c r="N331" s="1"/>
      <c r="O331" s="1"/>
      <c r="P331" s="1"/>
      <c r="Q331" s="1"/>
      <c r="R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row>
    <row r="332" spans="2:84">
      <c r="B332" s="196"/>
      <c r="C332" s="196"/>
      <c r="D332" s="196"/>
      <c r="E332" s="196"/>
      <c r="F332" s="196"/>
      <c r="G332" s="196"/>
      <c r="H332" s="196"/>
      <c r="I332" s="196"/>
      <c r="J332" s="196"/>
      <c r="K332" s="196"/>
      <c r="L332" s="1"/>
      <c r="M332" s="1"/>
      <c r="N332" s="1"/>
      <c r="O332" s="1"/>
      <c r="P332" s="1"/>
      <c r="Q332" s="1"/>
      <c r="R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row>
    <row r="333" spans="2:84">
      <c r="B333" s="196"/>
      <c r="C333" s="196"/>
      <c r="D333" s="196"/>
      <c r="E333" s="196"/>
      <c r="F333" s="196"/>
      <c r="G333" s="196"/>
      <c r="H333" s="196"/>
      <c r="I333" s="196"/>
      <c r="J333" s="196"/>
      <c r="K333" s="196"/>
      <c r="L333" s="1"/>
      <c r="M333" s="1"/>
      <c r="N333" s="1"/>
      <c r="O333" s="1"/>
      <c r="P333" s="1"/>
      <c r="Q333" s="1"/>
      <c r="R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row>
    <row r="334" spans="2:84">
      <c r="B334" s="196"/>
      <c r="C334" s="196"/>
      <c r="D334" s="196"/>
      <c r="E334" s="196"/>
      <c r="F334" s="196"/>
      <c r="G334" s="196"/>
      <c r="H334" s="196"/>
      <c r="I334" s="196"/>
      <c r="J334" s="196"/>
      <c r="K334" s="196"/>
      <c r="L334" s="1"/>
      <c r="M334" s="1"/>
      <c r="N334" s="1"/>
      <c r="O334" s="1"/>
      <c r="P334" s="1"/>
      <c r="Q334" s="1"/>
      <c r="R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row>
    <row r="335" spans="2:84">
      <c r="B335" s="196"/>
      <c r="C335" s="196"/>
      <c r="D335" s="196"/>
      <c r="E335" s="196"/>
      <c r="F335" s="196"/>
      <c r="G335" s="196"/>
      <c r="H335" s="196"/>
      <c r="I335" s="196"/>
      <c r="J335" s="196"/>
      <c r="K335" s="196"/>
      <c r="L335" s="1"/>
      <c r="M335" s="1"/>
      <c r="N335" s="1"/>
      <c r="O335" s="1"/>
      <c r="P335" s="1"/>
      <c r="Q335" s="1"/>
      <c r="R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row>
    <row r="336" spans="2:84">
      <c r="B336" s="196"/>
      <c r="C336" s="196"/>
      <c r="D336" s="196"/>
      <c r="E336" s="196"/>
      <c r="F336" s="196"/>
      <c r="G336" s="196"/>
      <c r="H336" s="196"/>
      <c r="I336" s="196"/>
      <c r="J336" s="196"/>
      <c r="K336" s="196"/>
      <c r="L336" s="1"/>
      <c r="M336" s="1"/>
      <c r="N336" s="1"/>
      <c r="O336" s="1"/>
      <c r="P336" s="1"/>
      <c r="Q336" s="1"/>
      <c r="R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row>
    <row r="337" spans="2:84">
      <c r="B337" s="196"/>
      <c r="C337" s="196"/>
      <c r="D337" s="196"/>
      <c r="E337" s="196"/>
      <c r="F337" s="196"/>
      <c r="G337" s="196"/>
      <c r="H337" s="196"/>
      <c r="I337" s="196"/>
      <c r="J337" s="196"/>
      <c r="K337" s="196"/>
      <c r="L337" s="1"/>
      <c r="M337" s="1"/>
      <c r="N337" s="1"/>
      <c r="O337" s="1"/>
      <c r="P337" s="1"/>
      <c r="Q337" s="1"/>
      <c r="R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row>
    <row r="338" spans="2:84">
      <c r="B338" s="196"/>
      <c r="C338" s="196"/>
      <c r="D338" s="196"/>
      <c r="E338" s="196"/>
      <c r="F338" s="196"/>
      <c r="G338" s="196"/>
      <c r="H338" s="196"/>
      <c r="I338" s="196"/>
      <c r="J338" s="196"/>
      <c r="K338" s="196"/>
      <c r="L338" s="1"/>
      <c r="M338" s="1"/>
      <c r="N338" s="1"/>
      <c r="O338" s="1"/>
      <c r="P338" s="1"/>
      <c r="Q338" s="1"/>
      <c r="R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row>
    <row r="339" spans="2:84">
      <c r="B339" s="196"/>
      <c r="C339" s="196"/>
      <c r="D339" s="196"/>
      <c r="E339" s="196"/>
      <c r="F339" s="196"/>
      <c r="G339" s="196"/>
      <c r="H339" s="196"/>
      <c r="I339" s="196"/>
      <c r="J339" s="196"/>
      <c r="K339" s="196"/>
      <c r="L339" s="1"/>
      <c r="M339" s="1"/>
      <c r="N339" s="1"/>
      <c r="O339" s="1"/>
      <c r="P339" s="1"/>
      <c r="Q339" s="1"/>
      <c r="R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row>
    <row r="340" spans="2:84">
      <c r="B340" s="196"/>
      <c r="C340" s="196"/>
      <c r="D340" s="196"/>
      <c r="E340" s="196"/>
      <c r="F340" s="196"/>
      <c r="G340" s="196"/>
      <c r="H340" s="196"/>
      <c r="I340" s="196"/>
      <c r="J340" s="196"/>
      <c r="K340" s="196"/>
      <c r="L340" s="1"/>
      <c r="M340" s="1"/>
      <c r="N340" s="1"/>
      <c r="O340" s="1"/>
      <c r="P340" s="1"/>
      <c r="Q340" s="1"/>
      <c r="R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row>
    <row r="341" spans="2:84">
      <c r="B341" s="196"/>
      <c r="C341" s="196"/>
      <c r="D341" s="196"/>
      <c r="E341" s="196"/>
      <c r="F341" s="196"/>
      <c r="G341" s="196"/>
      <c r="H341" s="196"/>
      <c r="I341" s="196"/>
      <c r="J341" s="196"/>
      <c r="K341" s="196"/>
      <c r="L341" s="1"/>
      <c r="M341" s="1"/>
      <c r="N341" s="1"/>
      <c r="O341" s="1"/>
      <c r="P341" s="1"/>
      <c r="Q341" s="1"/>
      <c r="R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row>
    <row r="342" spans="2:84">
      <c r="B342" s="196"/>
      <c r="C342" s="196"/>
      <c r="D342" s="196"/>
      <c r="E342" s="196"/>
      <c r="F342" s="196"/>
      <c r="G342" s="196"/>
      <c r="H342" s="196"/>
      <c r="I342" s="196"/>
      <c r="J342" s="196"/>
      <c r="K342" s="196"/>
      <c r="L342" s="1"/>
      <c r="M342" s="1"/>
      <c r="N342" s="1"/>
      <c r="O342" s="1"/>
      <c r="P342" s="1"/>
      <c r="Q342" s="1"/>
      <c r="R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row>
    <row r="343" spans="2:84">
      <c r="B343" s="196"/>
      <c r="C343" s="196"/>
      <c r="D343" s="196"/>
      <c r="E343" s="196"/>
      <c r="F343" s="196"/>
      <c r="G343" s="196"/>
      <c r="H343" s="196"/>
      <c r="I343" s="196"/>
      <c r="J343" s="196"/>
      <c r="K343" s="196"/>
      <c r="L343" s="1"/>
      <c r="M343" s="1"/>
      <c r="N343" s="1"/>
      <c r="O343" s="1"/>
      <c r="P343" s="1"/>
      <c r="Q343" s="1"/>
      <c r="R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row>
  </sheetData>
  <sheetProtection algorithmName="SHA-512" hashValue="6NVpXjzOK7J8ATTplKQImvfzgZ3KLBvBeFLulujgTYduzaCi4q99l8CmIzxHgGYeFqJx3ChOTJ/lJ2J76uciRQ==" saltValue="7KmNF9NmyMksflzGIfcSBA==" spinCount="100000" sheet="1" formatCells="0" formatRows="0"/>
  <mergeCells count="414">
    <mergeCell ref="L299:M299"/>
    <mergeCell ref="B287:G287"/>
    <mergeCell ref="B271:G271"/>
    <mergeCell ref="B282:H282"/>
    <mergeCell ref="I282:J282"/>
    <mergeCell ref="C114:E114"/>
    <mergeCell ref="C115:E115"/>
    <mergeCell ref="C116:E116"/>
    <mergeCell ref="B265:G265"/>
    <mergeCell ref="B263:G263"/>
    <mergeCell ref="I281:J281"/>
    <mergeCell ref="K281:M281"/>
    <mergeCell ref="B275:G275"/>
    <mergeCell ref="I275:J275"/>
    <mergeCell ref="K275:M275"/>
    <mergeCell ref="I265:J265"/>
    <mergeCell ref="K264:M264"/>
    <mergeCell ref="B182:C182"/>
    <mergeCell ref="B183:C183"/>
    <mergeCell ref="B162:E162"/>
    <mergeCell ref="B180:C180"/>
    <mergeCell ref="B181:E181"/>
    <mergeCell ref="B158:E158"/>
    <mergeCell ref="B113:C113"/>
    <mergeCell ref="K116:L116"/>
    <mergeCell ref="H114:I114"/>
    <mergeCell ref="H115:I115"/>
    <mergeCell ref="H116:I116"/>
    <mergeCell ref="B245:M245"/>
    <mergeCell ref="B246:F246"/>
    <mergeCell ref="B239:F239"/>
    <mergeCell ref="B188:C188"/>
    <mergeCell ref="B137:E137"/>
    <mergeCell ref="B139:E139"/>
    <mergeCell ref="B185:C185"/>
    <mergeCell ref="B186:E186"/>
    <mergeCell ref="B191:E191"/>
    <mergeCell ref="G219:I219"/>
    <mergeCell ref="G220:I220"/>
    <mergeCell ref="B198:F198"/>
    <mergeCell ref="B142:E142"/>
    <mergeCell ref="B218:M218"/>
    <mergeCell ref="B141:E141"/>
    <mergeCell ref="K141:P141"/>
    <mergeCell ref="B140:M140"/>
    <mergeCell ref="B184:C184"/>
    <mergeCell ref="B178:M178"/>
    <mergeCell ref="H302:I302"/>
    <mergeCell ref="C108:E108"/>
    <mergeCell ref="F108:G108"/>
    <mergeCell ref="B267:G267"/>
    <mergeCell ref="I267:J267"/>
    <mergeCell ref="B123:E123"/>
    <mergeCell ref="B125:E125"/>
    <mergeCell ref="K123:P123"/>
    <mergeCell ref="K125:P125"/>
    <mergeCell ref="K131:P131"/>
    <mergeCell ref="B126:E126"/>
    <mergeCell ref="K126:P126"/>
    <mergeCell ref="H119:J119"/>
    <mergeCell ref="C111:F111"/>
    <mergeCell ref="H111:K111"/>
    <mergeCell ref="H189:M189"/>
    <mergeCell ref="F114:G114"/>
    <mergeCell ref="F115:G115"/>
    <mergeCell ref="F116:G116"/>
    <mergeCell ref="K292:M292"/>
    <mergeCell ref="B225:F225"/>
    <mergeCell ref="B230:F230"/>
    <mergeCell ref="B231:F231"/>
    <mergeCell ref="G241:M243"/>
    <mergeCell ref="N83:R83"/>
    <mergeCell ref="I272:J272"/>
    <mergeCell ref="B269:G269"/>
    <mergeCell ref="I270:J270"/>
    <mergeCell ref="K270:M270"/>
    <mergeCell ref="K272:M272"/>
    <mergeCell ref="H166:M166"/>
    <mergeCell ref="B170:E170"/>
    <mergeCell ref="B171:E171"/>
    <mergeCell ref="B172:E172"/>
    <mergeCell ref="B86:D86"/>
    <mergeCell ref="B87:C87"/>
    <mergeCell ref="B144:E144"/>
    <mergeCell ref="B145:E145"/>
    <mergeCell ref="B146:E146"/>
    <mergeCell ref="B147:E147"/>
    <mergeCell ref="B149:E149"/>
    <mergeCell ref="B150:E150"/>
    <mergeCell ref="B193:C193"/>
    <mergeCell ref="B132:E132"/>
    <mergeCell ref="B133:E133"/>
    <mergeCell ref="B138:E138"/>
    <mergeCell ref="B192:C192"/>
    <mergeCell ref="B117:M117"/>
    <mergeCell ref="B155:E155"/>
    <mergeCell ref="B179:C179"/>
    <mergeCell ref="B148:E148"/>
    <mergeCell ref="B153:E153"/>
    <mergeCell ref="B161:E161"/>
    <mergeCell ref="B174:E174"/>
    <mergeCell ref="G162:G165"/>
    <mergeCell ref="B167:E167"/>
    <mergeCell ref="B168:E168"/>
    <mergeCell ref="B164:E164"/>
    <mergeCell ref="B169:E169"/>
    <mergeCell ref="B189:C189"/>
    <mergeCell ref="B152:M152"/>
    <mergeCell ref="H165:K165"/>
    <mergeCell ref="B165:E165"/>
    <mergeCell ref="G166:G167"/>
    <mergeCell ref="B163:E163"/>
    <mergeCell ref="B304:D304"/>
    <mergeCell ref="I274:J274"/>
    <mergeCell ref="B32:F33"/>
    <mergeCell ref="B274:G274"/>
    <mergeCell ref="I277:J277"/>
    <mergeCell ref="B276:G276"/>
    <mergeCell ref="K274:M274"/>
    <mergeCell ref="I261:J261"/>
    <mergeCell ref="K261:M261"/>
    <mergeCell ref="B124:E124"/>
    <mergeCell ref="H160:L160"/>
    <mergeCell ref="B160:F160"/>
    <mergeCell ref="B151:E151"/>
    <mergeCell ref="B136:E136"/>
    <mergeCell ref="B190:C190"/>
    <mergeCell ref="B200:C200"/>
    <mergeCell ref="B201:C201"/>
    <mergeCell ref="B173:E173"/>
    <mergeCell ref="B135:E135"/>
    <mergeCell ref="B95:E95"/>
    <mergeCell ref="B166:E166"/>
    <mergeCell ref="B97:R97"/>
    <mergeCell ref="N73:R73"/>
    <mergeCell ref="B40:D40"/>
    <mergeCell ref="B73:M73"/>
    <mergeCell ref="H30:M30"/>
    <mergeCell ref="F39:G39"/>
    <mergeCell ref="B35:D35"/>
    <mergeCell ref="B39:D39"/>
    <mergeCell ref="F35:G35"/>
    <mergeCell ref="B72:F72"/>
    <mergeCell ref="B68:H68"/>
    <mergeCell ref="B30:F30"/>
    <mergeCell ref="G32:M32"/>
    <mergeCell ref="G33:M33"/>
    <mergeCell ref="B34:D34"/>
    <mergeCell ref="F34:G34"/>
    <mergeCell ref="B38:D38"/>
    <mergeCell ref="B31:F31"/>
    <mergeCell ref="B37:D37"/>
    <mergeCell ref="F38:G38"/>
    <mergeCell ref="B45:M45"/>
    <mergeCell ref="B65:M65"/>
    <mergeCell ref="H37:J37"/>
    <mergeCell ref="B82:D82"/>
    <mergeCell ref="B92:D92"/>
    <mergeCell ref="B85:D85"/>
    <mergeCell ref="B89:D89"/>
    <mergeCell ref="B69:F69"/>
    <mergeCell ref="B70:F70"/>
    <mergeCell ref="B71:F71"/>
    <mergeCell ref="B81:D81"/>
    <mergeCell ref="B80:D80"/>
    <mergeCell ref="B83:M83"/>
    <mergeCell ref="B74:E74"/>
    <mergeCell ref="B88:D88"/>
    <mergeCell ref="H53:L61"/>
    <mergeCell ref="H125:I125"/>
    <mergeCell ref="B127:E127"/>
    <mergeCell ref="B84:E84"/>
    <mergeCell ref="G84:M84"/>
    <mergeCell ref="B120:M120"/>
    <mergeCell ref="C98:Q100"/>
    <mergeCell ref="B134:E134"/>
    <mergeCell ref="K127:P127"/>
    <mergeCell ref="K128:P128"/>
    <mergeCell ref="K129:P129"/>
    <mergeCell ref="K130:P130"/>
    <mergeCell ref="K132:P132"/>
    <mergeCell ref="H132:I132"/>
    <mergeCell ref="B130:E130"/>
    <mergeCell ref="K122:P122"/>
    <mergeCell ref="B131:E131"/>
    <mergeCell ref="B91:D91"/>
    <mergeCell ref="D113:G113"/>
    <mergeCell ref="C109:G110"/>
    <mergeCell ref="H108:I108"/>
    <mergeCell ref="J108:L108"/>
    <mergeCell ref="H109:L110"/>
    <mergeCell ref="K114:L114"/>
    <mergeCell ref="K115:L115"/>
    <mergeCell ref="B299:D299"/>
    <mergeCell ref="I286:J286"/>
    <mergeCell ref="K286:M286"/>
    <mergeCell ref="I284:J284"/>
    <mergeCell ref="I264:J264"/>
    <mergeCell ref="K269:M269"/>
    <mergeCell ref="K266:M266"/>
    <mergeCell ref="K265:M265"/>
    <mergeCell ref="B264:G264"/>
    <mergeCell ref="B295:M295"/>
    <mergeCell ref="B289:G289"/>
    <mergeCell ref="I289:J289"/>
    <mergeCell ref="K284:M284"/>
    <mergeCell ref="B284:G284"/>
    <mergeCell ref="I283:J283"/>
    <mergeCell ref="B283:G283"/>
    <mergeCell ref="B280:M280"/>
    <mergeCell ref="B290:G290"/>
    <mergeCell ref="I290:J290"/>
    <mergeCell ref="K290:M290"/>
    <mergeCell ref="B292:G292"/>
    <mergeCell ref="I292:J292"/>
    <mergeCell ref="B291:G291"/>
    <mergeCell ref="H299:I299"/>
    <mergeCell ref="H26:M26"/>
    <mergeCell ref="B66:M66"/>
    <mergeCell ref="B42:M42"/>
    <mergeCell ref="C43:L44"/>
    <mergeCell ref="B301:D301"/>
    <mergeCell ref="B278:G278"/>
    <mergeCell ref="I278:J278"/>
    <mergeCell ref="I279:J279"/>
    <mergeCell ref="B75:D75"/>
    <mergeCell ref="B76:D76"/>
    <mergeCell ref="B79:D79"/>
    <mergeCell ref="G74:M74"/>
    <mergeCell ref="B78:D78"/>
    <mergeCell ref="B260:M260"/>
    <mergeCell ref="B240:F240"/>
    <mergeCell ref="G240:I240"/>
    <mergeCell ref="B236:F236"/>
    <mergeCell ref="B256:F256"/>
    <mergeCell ref="B244:M244"/>
    <mergeCell ref="L231:M231"/>
    <mergeCell ref="K142:P142"/>
    <mergeCell ref="D112:G112"/>
    <mergeCell ref="I112:L112"/>
    <mergeCell ref="B90:D90"/>
    <mergeCell ref="B94:D94"/>
    <mergeCell ref="B93:D93"/>
    <mergeCell ref="B187:C187"/>
    <mergeCell ref="G221:M221"/>
    <mergeCell ref="L239:M239"/>
    <mergeCell ref="K263:M263"/>
    <mergeCell ref="B67:H67"/>
    <mergeCell ref="C104:D106"/>
    <mergeCell ref="E104:G106"/>
    <mergeCell ref="J104:L104"/>
    <mergeCell ref="J105:L105"/>
    <mergeCell ref="K106:L106"/>
    <mergeCell ref="F203:G203"/>
    <mergeCell ref="B206:D206"/>
    <mergeCell ref="B194:C194"/>
    <mergeCell ref="B195:C195"/>
    <mergeCell ref="B196:C196"/>
    <mergeCell ref="B254:M254"/>
    <mergeCell ref="B255:M255"/>
    <mergeCell ref="G252:G253"/>
    <mergeCell ref="B222:F222"/>
    <mergeCell ref="B221:F221"/>
    <mergeCell ref="B129:E129"/>
    <mergeCell ref="K124:P124"/>
    <mergeCell ref="H28:I28"/>
    <mergeCell ref="H41:J41"/>
    <mergeCell ref="F40:G40"/>
    <mergeCell ref="J67:M67"/>
    <mergeCell ref="H36:J36"/>
    <mergeCell ref="C107:G107"/>
    <mergeCell ref="L240:M240"/>
    <mergeCell ref="B224:F224"/>
    <mergeCell ref="B247:F247"/>
    <mergeCell ref="G246:G247"/>
    <mergeCell ref="L226:M226"/>
    <mergeCell ref="L230:M230"/>
    <mergeCell ref="L227:M227"/>
    <mergeCell ref="L224:M224"/>
    <mergeCell ref="L225:M225"/>
    <mergeCell ref="L235:M235"/>
    <mergeCell ref="L237:M237"/>
    <mergeCell ref="B128:E128"/>
    <mergeCell ref="B102:M102"/>
    <mergeCell ref="C103:G103"/>
    <mergeCell ref="H103:L103"/>
    <mergeCell ref="H104:I104"/>
    <mergeCell ref="H105:I105"/>
    <mergeCell ref="H106:I106"/>
    <mergeCell ref="B18:M18"/>
    <mergeCell ref="B19:F19"/>
    <mergeCell ref="H27:M27"/>
    <mergeCell ref="H29:M29"/>
    <mergeCell ref="B51:M51"/>
    <mergeCell ref="C52:G61"/>
    <mergeCell ref="B28:F28"/>
    <mergeCell ref="H23:M23"/>
    <mergeCell ref="B24:F24"/>
    <mergeCell ref="H24:M24"/>
    <mergeCell ref="B27:F27"/>
    <mergeCell ref="B29:F29"/>
    <mergeCell ref="B41:D41"/>
    <mergeCell ref="F41:G41"/>
    <mergeCell ref="F37:G37"/>
    <mergeCell ref="F36:G36"/>
    <mergeCell ref="H38:J38"/>
    <mergeCell ref="H39:J39"/>
    <mergeCell ref="H40:J40"/>
    <mergeCell ref="K28:M28"/>
    <mergeCell ref="H52:I52"/>
    <mergeCell ref="G19:M19"/>
    <mergeCell ref="B26:F26"/>
    <mergeCell ref="C46:L50"/>
    <mergeCell ref="J3:M7"/>
    <mergeCell ref="B2:G4"/>
    <mergeCell ref="B5:G7"/>
    <mergeCell ref="H163:K163"/>
    <mergeCell ref="H164:K164"/>
    <mergeCell ref="H161:K161"/>
    <mergeCell ref="H162:K162"/>
    <mergeCell ref="B121:M121"/>
    <mergeCell ref="B122:E122"/>
    <mergeCell ref="B77:C77"/>
    <mergeCell ref="B36:D36"/>
    <mergeCell ref="B159:E159"/>
    <mergeCell ref="B157:E157"/>
    <mergeCell ref="B156:E156"/>
    <mergeCell ref="B154:E154"/>
    <mergeCell ref="B20:F20"/>
    <mergeCell ref="H20:M20"/>
    <mergeCell ref="B23:F23"/>
    <mergeCell ref="B25:F25"/>
    <mergeCell ref="H25:M25"/>
    <mergeCell ref="H34:J34"/>
    <mergeCell ref="B96:E96"/>
    <mergeCell ref="B143:E143"/>
    <mergeCell ref="H35:J35"/>
    <mergeCell ref="G222:I222"/>
    <mergeCell ref="L220:M220"/>
    <mergeCell ref="B220:F220"/>
    <mergeCell ref="B202:C202"/>
    <mergeCell ref="B228:F229"/>
    <mergeCell ref="L236:M236"/>
    <mergeCell ref="L219:M219"/>
    <mergeCell ref="B197:C197"/>
    <mergeCell ref="B219:F219"/>
    <mergeCell ref="B199:C199"/>
    <mergeCell ref="B203:C203"/>
    <mergeCell ref="B232:F232"/>
    <mergeCell ref="B227:F227"/>
    <mergeCell ref="B226:F226"/>
    <mergeCell ref="B233:F233"/>
    <mergeCell ref="L232:M232"/>
    <mergeCell ref="L222:M222"/>
    <mergeCell ref="B205:C205"/>
    <mergeCell ref="B204:C204"/>
    <mergeCell ref="L238:M238"/>
    <mergeCell ref="I287:J287"/>
    <mergeCell ref="K287:M287"/>
    <mergeCell ref="B286:G286"/>
    <mergeCell ref="I288:J288"/>
    <mergeCell ref="K288:M288"/>
    <mergeCell ref="I285:J285"/>
    <mergeCell ref="K285:M285"/>
    <mergeCell ref="L233:M233"/>
    <mergeCell ref="L234:M234"/>
    <mergeCell ref="B234:F234"/>
    <mergeCell ref="B235:F235"/>
    <mergeCell ref="B237:F237"/>
    <mergeCell ref="B238:F238"/>
    <mergeCell ref="B241:F243"/>
    <mergeCell ref="G250:G251"/>
    <mergeCell ref="B257:F257"/>
    <mergeCell ref="H256:M256"/>
    <mergeCell ref="H257:M257"/>
    <mergeCell ref="H246:M246"/>
    <mergeCell ref="H247:M247"/>
    <mergeCell ref="H248:M248"/>
    <mergeCell ref="H249:M249"/>
    <mergeCell ref="H250:M250"/>
    <mergeCell ref="B305:D305"/>
    <mergeCell ref="F305:M305"/>
    <mergeCell ref="B288:G288"/>
    <mergeCell ref="B262:M262"/>
    <mergeCell ref="B268:M268"/>
    <mergeCell ref="B273:M273"/>
    <mergeCell ref="B272:G272"/>
    <mergeCell ref="B277:G277"/>
    <mergeCell ref="B279:G279"/>
    <mergeCell ref="B270:G270"/>
    <mergeCell ref="I263:J263"/>
    <mergeCell ref="B266:G266"/>
    <mergeCell ref="I269:J269"/>
    <mergeCell ref="I276:J276"/>
    <mergeCell ref="B302:D302"/>
    <mergeCell ref="B303:D303"/>
    <mergeCell ref="B285:G285"/>
    <mergeCell ref="B300:D300"/>
    <mergeCell ref="B281:G281"/>
    <mergeCell ref="K283:M283"/>
    <mergeCell ref="K289:M289"/>
    <mergeCell ref="B296:D296"/>
    <mergeCell ref="B297:D297"/>
    <mergeCell ref="B298:D298"/>
    <mergeCell ref="H251:M251"/>
    <mergeCell ref="H252:M252"/>
    <mergeCell ref="H253:M253"/>
    <mergeCell ref="B248:F248"/>
    <mergeCell ref="B249:F249"/>
    <mergeCell ref="B250:F250"/>
    <mergeCell ref="B251:F251"/>
    <mergeCell ref="B252:F252"/>
    <mergeCell ref="B253:F253"/>
    <mergeCell ref="G248:G249"/>
  </mergeCells>
  <phoneticPr fontId="90" type="noConversion"/>
  <conditionalFormatting sqref="B282 K282:M282 B283:M291 B292 H292:M292">
    <cfRule type="expression" dxfId="158" priority="1">
      <formula>$G$219="Pas de réseau de chaleur"</formula>
    </cfRule>
  </conditionalFormatting>
  <conditionalFormatting sqref="B153:E157 G153:R159 F154:F159 B158 B159:E159">
    <cfRule type="expression" dxfId="157" priority="613">
      <formula>$F$153=0</formula>
    </cfRule>
  </conditionalFormatting>
  <conditionalFormatting sqref="C213">
    <cfRule type="expression" dxfId="156" priority="625">
      <formula>$C$213="Appro biomasse OK: 100% de granulés"</formula>
    </cfRule>
  </conditionalFormatting>
  <conditionalFormatting sqref="D197">
    <cfRule type="expression" dxfId="155" priority="520">
      <formula>$D$197&gt;1</formula>
    </cfRule>
  </conditionalFormatting>
  <conditionalFormatting sqref="E34">
    <cfRule type="expression" dxfId="154" priority="670">
      <formula>COUNTIF($E$38:$E$41,"oui")=0</formula>
    </cfRule>
    <cfRule type="expression" dxfId="153" priority="671">
      <formula>COUNTIF($E$38:$E$41,"oui")&lt;&gt;0</formula>
    </cfRule>
  </conditionalFormatting>
  <conditionalFormatting sqref="E38:E41">
    <cfRule type="containsText" dxfId="152" priority="672" operator="containsText" text="oui">
      <formula>NOT(ISERROR(SEARCH("oui",E38)))</formula>
    </cfRule>
  </conditionalFormatting>
  <conditionalFormatting sqref="F91">
    <cfRule type="cellIs" dxfId="151" priority="38" operator="equal">
      <formula>"Faible efficacité énergétique d'au moins un consommateur"</formula>
    </cfRule>
  </conditionalFormatting>
  <conditionalFormatting sqref="F297:F304">
    <cfRule type="colorScale" priority="101">
      <colorScale>
        <cfvo type="min"/>
        <cfvo type="max"/>
        <color theme="8" tint="0.79998168889431442"/>
        <color theme="8"/>
      </colorScale>
    </cfRule>
  </conditionalFormatting>
  <conditionalFormatting sqref="G111">
    <cfRule type="containsText" dxfId="150" priority="30" operator="containsText" text="oui">
      <formula>NOT(ISERROR(SEARCH("oui",G111)))</formula>
    </cfRule>
  </conditionalFormatting>
  <conditionalFormatting sqref="G122 G155:R155">
    <cfRule type="expression" dxfId="149" priority="627">
      <formula>SUM($G$155:$M$155)=$G$124</formula>
    </cfRule>
  </conditionalFormatting>
  <conditionalFormatting sqref="G127 G156:R156">
    <cfRule type="expression" dxfId="148" priority="628">
      <formula>SUM($G$156:$M$156)=$G$127</formula>
    </cfRule>
  </conditionalFormatting>
  <conditionalFormatting sqref="G127">
    <cfRule type="expression" dxfId="147" priority="494">
      <formula>$G$127=0</formula>
    </cfRule>
  </conditionalFormatting>
  <conditionalFormatting sqref="G128 G136:R136">
    <cfRule type="expression" dxfId="146" priority="647">
      <formula>SUM($G$136:$M$136)=$G$128</formula>
    </cfRule>
  </conditionalFormatting>
  <conditionalFormatting sqref="G129:G131">
    <cfRule type="expression" dxfId="145" priority="649">
      <formula>$G$129=1</formula>
    </cfRule>
  </conditionalFormatting>
  <conditionalFormatting sqref="G75:R82 G85:R96">
    <cfRule type="expression" dxfId="144" priority="81" stopIfTrue="1">
      <formula>G$70=""</formula>
    </cfRule>
  </conditionalFormatting>
  <conditionalFormatting sqref="G75:R82">
    <cfRule type="expression" dxfId="143" priority="330" stopIfTrue="1">
      <formula>G$71="Neuf"</formula>
    </cfRule>
  </conditionalFormatting>
  <conditionalFormatting sqref="G81:R81">
    <cfRule type="expression" dxfId="142" priority="54" stopIfTrue="1">
      <formula>G$80="non"</formula>
    </cfRule>
  </conditionalFormatting>
  <conditionalFormatting sqref="G87:R87">
    <cfRule type="expression" dxfId="141" priority="89">
      <formula>G90&lt;G87</formula>
    </cfRule>
  </conditionalFormatting>
  <conditionalFormatting sqref="G87:R89 G85:R85">
    <cfRule type="expression" dxfId="140" priority="688" stopIfTrue="1">
      <formula>G$70="Abandonné pour le projet"</formula>
    </cfRule>
  </conditionalFormatting>
  <conditionalFormatting sqref="G91:R91">
    <cfRule type="expression" dxfId="139" priority="500" stopIfTrue="1">
      <formula>$G$71="Abandonné pour le projet"</formula>
    </cfRule>
  </conditionalFormatting>
  <conditionalFormatting sqref="G92:R92">
    <cfRule type="expression" dxfId="138" priority="53" stopIfTrue="1">
      <formula>G$71="Neuf"</formula>
    </cfRule>
  </conditionalFormatting>
  <conditionalFormatting sqref="G93:R93">
    <cfRule type="expression" dxfId="137" priority="43" stopIfTrue="1">
      <formula>G$92&lt;&gt;"Oui"</formula>
    </cfRule>
  </conditionalFormatting>
  <conditionalFormatting sqref="G95:R96">
    <cfRule type="expression" dxfId="136" priority="730" stopIfTrue="1">
      <formula>$G$92&lt;&gt;"oui"</formula>
    </cfRule>
    <cfRule type="expression" dxfId="135" priority="731">
      <formula>G$71="Neuf"</formula>
    </cfRule>
    <cfRule type="expression" dxfId="134" priority="732">
      <formula>G$71=""</formula>
    </cfRule>
  </conditionalFormatting>
  <conditionalFormatting sqref="G96:R96">
    <cfRule type="expression" dxfId="133" priority="42">
      <formula>G$95&lt;&gt;"Oui"</formula>
    </cfRule>
  </conditionalFormatting>
  <conditionalFormatting sqref="G136:R136 G128">
    <cfRule type="expression" dxfId="132" priority="645">
      <formula>$G$128&lt;&gt;SUM($G$136:$M$136)</formula>
    </cfRule>
  </conditionalFormatting>
  <conditionalFormatting sqref="G146:R150">
    <cfRule type="expression" dxfId="131" priority="125">
      <formula>Puiss_biomasse&gt;=1000</formula>
    </cfRule>
  </conditionalFormatting>
  <conditionalFormatting sqref="G153:R159">
    <cfRule type="expression" dxfId="130" priority="641">
      <formula>$F$153=0</formula>
    </cfRule>
  </conditionalFormatting>
  <conditionalFormatting sqref="H23">
    <cfRule type="expression" dxfId="129" priority="69">
      <formula>$H$26&lt;&gt;""</formula>
    </cfRule>
  </conditionalFormatting>
  <conditionalFormatting sqref="H26:H27">
    <cfRule type="expression" dxfId="128" priority="84">
      <formula>$H$26&lt;&gt;""</formula>
    </cfRule>
  </conditionalFormatting>
  <conditionalFormatting sqref="H127">
    <cfRule type="cellIs" dxfId="127" priority="182" operator="equal">
      <formula>"le temps d'utilisation de la chaudière est optimal"</formula>
    </cfRule>
  </conditionalFormatting>
  <conditionalFormatting sqref="H128">
    <cfRule type="cellIs" dxfId="126" priority="160" operator="equal">
      <formula>"Dimensionnement inéligible"</formula>
    </cfRule>
  </conditionalFormatting>
  <conditionalFormatting sqref="H141:H145">
    <cfRule type="expression" dxfId="125" priority="48">
      <formula>$G$141&lt;&gt;"Oui"</formula>
    </cfRule>
  </conditionalFormatting>
  <conditionalFormatting sqref="H203">
    <cfRule type="expression" dxfId="124" priority="147">
      <formula>$D$203=0</formula>
    </cfRule>
    <cfRule type="containsText" dxfId="123" priority="611" operator="containsText" text="oui">
      <formula>NOT(ISERROR(SEARCH("oui",H203)))</formula>
    </cfRule>
  </conditionalFormatting>
  <conditionalFormatting sqref="H263:H264">
    <cfRule type="cellIs" dxfId="122" priority="27" operator="equal">
      <formula>"Non"</formula>
    </cfRule>
    <cfRule type="containsText" dxfId="121" priority="100" operator="containsText" text="oui">
      <formula>NOT(ISERROR(SEARCH("oui",H263)))</formula>
    </cfRule>
  </conditionalFormatting>
  <conditionalFormatting sqref="H266">
    <cfRule type="cellIs" dxfId="120" priority="37" operator="equal">
      <formula>"Faible efficacité énergétique d'au moins un consommateur"</formula>
    </cfRule>
    <cfRule type="cellIs" dxfId="119" priority="85" operator="equal">
      <formula>"ok"</formula>
    </cfRule>
    <cfRule type="containsText" dxfId="118" priority="86" operator="containsText" text="oui">
      <formula>NOT(ISERROR(SEARCH("oui",H266)))</formula>
    </cfRule>
  </conditionalFormatting>
  <conditionalFormatting sqref="H267">
    <cfRule type="cellIs" dxfId="117" priority="25" operator="equal">
      <formula>"Non"</formula>
    </cfRule>
    <cfRule type="containsText" dxfId="116" priority="26" operator="containsText" text="oui">
      <formula>NOT(ISERROR(SEARCH("oui",H267)))</formula>
    </cfRule>
  </conditionalFormatting>
  <conditionalFormatting sqref="H271">
    <cfRule type="cellIs" dxfId="115" priority="94" operator="equal">
      <formula>"non éligible"</formula>
    </cfRule>
  </conditionalFormatting>
  <conditionalFormatting sqref="H272">
    <cfRule type="cellIs" dxfId="114" priority="23" operator="equal">
      <formula>"Non"</formula>
    </cfRule>
    <cfRule type="containsText" dxfId="113" priority="24" operator="containsText" text="oui">
      <formula>NOT(ISERROR(SEARCH("oui",H272)))</formula>
    </cfRule>
  </conditionalFormatting>
  <conditionalFormatting sqref="H281">
    <cfRule type="cellIs" dxfId="112" priority="92" operator="equal">
      <formula>"ok"</formula>
    </cfRule>
    <cfRule type="containsText" dxfId="111" priority="98" operator="containsText" text="oui">
      <formula>NOT(ISERROR(SEARCH("oui",H281)))</formula>
    </cfRule>
  </conditionalFormatting>
  <conditionalFormatting sqref="H283:H292">
    <cfRule type="cellIs" dxfId="110" priority="3" operator="equal">
      <formula>"Non"</formula>
    </cfRule>
    <cfRule type="containsText" dxfId="109" priority="4" operator="containsText" text="oui">
      <formula>NOT(ISERROR(SEARCH("oui",H283)))</formula>
    </cfRule>
  </conditionalFormatting>
  <conditionalFormatting sqref="H293:H294">
    <cfRule type="cellIs" dxfId="108" priority="55" operator="equal">
      <formula>"oui"</formula>
    </cfRule>
  </conditionalFormatting>
  <conditionalFormatting sqref="H131:I131">
    <cfRule type="cellIs" dxfId="107" priority="31" operator="equal">
      <formula>"ok"</formula>
    </cfRule>
    <cfRule type="cellIs" dxfId="106" priority="32" operator="notEqual">
      <formula>"ok"</formula>
    </cfRule>
  </conditionalFormatting>
  <conditionalFormatting sqref="H124:J126">
    <cfRule type="expression" dxfId="105" priority="593">
      <formula>$H$124&lt;&gt;""</formula>
    </cfRule>
  </conditionalFormatting>
  <conditionalFormatting sqref="H31:M31">
    <cfRule type="expression" dxfId="104" priority="595">
      <formula>$G$31="oui"</formula>
    </cfRule>
  </conditionalFormatting>
  <conditionalFormatting sqref="H134:R139 Q141:R141 H151:R151">
    <cfRule type="expression" dxfId="103" priority="741">
      <formula>$F$134=1</formula>
    </cfRule>
  </conditionalFormatting>
  <conditionalFormatting sqref="H153:R159">
    <cfRule type="expression" dxfId="102" priority="633">
      <formula>$F$153=1</formula>
    </cfRule>
  </conditionalFormatting>
  <conditionalFormatting sqref="I134:R139 Q141:R141 I151:R151">
    <cfRule type="expression" dxfId="101" priority="743">
      <formula>$F$134=2</formula>
    </cfRule>
  </conditionalFormatting>
  <conditionalFormatting sqref="I153:R159">
    <cfRule type="expression" dxfId="100" priority="634">
      <formula>$F$153=2</formula>
    </cfRule>
  </conditionalFormatting>
  <conditionalFormatting sqref="J28">
    <cfRule type="expression" dxfId="99" priority="149">
      <formula>$G$28="oui"</formula>
    </cfRule>
  </conditionalFormatting>
  <conditionalFormatting sqref="J114:J116">
    <cfRule type="containsText" dxfId="98" priority="39" operator="containsText" text="oui">
      <formula>NOT(ISERROR(SEARCH("oui",J114)))</formula>
    </cfRule>
  </conditionalFormatting>
  <conditionalFormatting sqref="J125:J126">
    <cfRule type="expression" dxfId="97" priority="33">
      <formula>$H$124&lt;&gt;""</formula>
    </cfRule>
  </conditionalFormatting>
  <conditionalFormatting sqref="J131:J136">
    <cfRule type="cellIs" dxfId="96" priority="157" operator="equal">
      <formula>"ok"</formula>
    </cfRule>
  </conditionalFormatting>
  <conditionalFormatting sqref="J190:J191">
    <cfRule type="cellIs" dxfId="95" priority="152" operator="equal">
      <formula>"non"</formula>
    </cfRule>
    <cfRule type="containsText" dxfId="94" priority="153" operator="containsText" text="oui">
      <formula>NOT(ISERROR(SEARCH("oui",J190)))</formula>
    </cfRule>
  </conditionalFormatting>
  <conditionalFormatting sqref="J271">
    <cfRule type="cellIs" dxfId="93" priority="93" operator="equal">
      <formula>"vérifier éligibilité"</formula>
    </cfRule>
  </conditionalFormatting>
  <conditionalFormatting sqref="J302">
    <cfRule type="cellIs" dxfId="92" priority="28" operator="equal">
      <formula>"A revoir"</formula>
    </cfRule>
  </conditionalFormatting>
  <conditionalFormatting sqref="J219:K220 J224:K224 J230:K230 J233:K233 J235:K236 K238:K240">
    <cfRule type="expression" dxfId="91" priority="179">
      <formula>$H$124&lt;&gt;""</formula>
    </cfRule>
  </conditionalFormatting>
  <conditionalFormatting sqref="J222:K222">
    <cfRule type="expression" dxfId="90" priority="2">
      <formula>$H$124&lt;&gt;""</formula>
    </cfRule>
  </conditionalFormatting>
  <conditionalFormatting sqref="J134:R139 Q141:R141 J151:R151">
    <cfRule type="expression" dxfId="89" priority="745">
      <formula>$F$134=3</formula>
    </cfRule>
  </conditionalFormatting>
  <conditionalFormatting sqref="J153:R159">
    <cfRule type="expression" dxfId="88" priority="635">
      <formula>$F$153=3</formula>
    </cfRule>
  </conditionalFormatting>
  <conditionalFormatting sqref="K276:K279">
    <cfRule type="cellIs" dxfId="87" priority="46" operator="equal">
      <formula>"OK,PPA respecté"</formula>
    </cfRule>
  </conditionalFormatting>
  <conditionalFormatting sqref="K134:R139 Q141:R141 K151:R151">
    <cfRule type="expression" dxfId="86" priority="747">
      <formula>$F$134=4</formula>
    </cfRule>
  </conditionalFormatting>
  <conditionalFormatting sqref="K153:R159">
    <cfRule type="expression" dxfId="85" priority="637">
      <formula>$F$153=4</formula>
    </cfRule>
  </conditionalFormatting>
  <conditionalFormatting sqref="L111">
    <cfRule type="containsText" dxfId="84" priority="29" operator="containsText" text="oui">
      <formula>NOT(ISERROR(SEARCH("oui",L111)))</formula>
    </cfRule>
  </conditionalFormatting>
  <conditionalFormatting sqref="L229">
    <cfRule type="containsText" dxfId="83" priority="180" operator="containsText" text="oui">
      <formula>NOT(ISERROR(SEARCH("oui",L229)))</formula>
    </cfRule>
  </conditionalFormatting>
  <conditionalFormatting sqref="L134:R139 Q141:R141 L151:R151">
    <cfRule type="expression" dxfId="82" priority="749">
      <formula>$F$134=5</formula>
    </cfRule>
  </conditionalFormatting>
  <conditionalFormatting sqref="L153:R159">
    <cfRule type="expression" dxfId="81" priority="638">
      <formula>$F$153=5</formula>
    </cfRule>
  </conditionalFormatting>
  <conditionalFormatting sqref="M134:R139 Q141:R141 M151:R151">
    <cfRule type="expression" dxfId="80" priority="751">
      <formula>$F$134=6</formula>
    </cfRule>
  </conditionalFormatting>
  <conditionalFormatting sqref="N134:R139 Q141:R141 N151:R151">
    <cfRule type="expression" dxfId="79" priority="753">
      <formula>$F$134=7</formula>
    </cfRule>
  </conditionalFormatting>
  <conditionalFormatting sqref="O134:R139 Q141:R141 O151:R151">
    <cfRule type="expression" dxfId="78" priority="755">
      <formula>$F$134=8</formula>
    </cfRule>
  </conditionalFormatting>
  <conditionalFormatting sqref="P134:R139 Q141:R141 P151:R151">
    <cfRule type="expression" dxfId="77" priority="757">
      <formula>$F$134=9</formula>
    </cfRule>
  </conditionalFormatting>
  <conditionalFormatting sqref="Q134:R139 Q141:R141 Q151:R151">
    <cfRule type="expression" dxfId="76" priority="759">
      <formula>$F$134=10</formula>
    </cfRule>
  </conditionalFormatting>
  <conditionalFormatting sqref="R134:R139 R141 R151">
    <cfRule type="expression" dxfId="75" priority="761">
      <formula>$F$134=11</formula>
    </cfRule>
  </conditionalFormatting>
  <dataValidations count="9">
    <dataValidation type="list" allowBlank="1" showInputMessage="1" sqref="G31 G27:G28 G95:R96">
      <formula1>INDIRECT("B_ouinon[Oui/non]")</formula1>
    </dataValidation>
    <dataValidation type="list" allowBlank="1" showInputMessage="1" showErrorMessage="1" sqref="F134">
      <formula1>$G$134:$R$134</formula1>
    </dataValidation>
    <dataValidation type="list" allowBlank="1" showInputMessage="1" showErrorMessage="1" sqref="F153">
      <formula1>"0,1,2,3,4,5,6,7,8,9,10,11,12"</formula1>
    </dataValidation>
    <dataValidation type="list" allowBlank="1" showInputMessage="1" showErrorMessage="1" sqref="G154:R154">
      <formula1>INDIRECT("B_natureducombustible[Nature du combustible]")</formula1>
    </dataValidation>
    <dataValidation type="list" allowBlank="1" showInputMessage="1" showErrorMessage="1" sqref="G297:G304">
      <formula1>INDIRECT("etapesdossier[Etapes_dossier]")</formula1>
    </dataValidation>
    <dataValidation type="list" allowBlank="1" showInputMessage="1" showErrorMessage="1" sqref="G151:R151">
      <formula1>INDIRECT("B_traitementpoussieres[Technologie_poussieres]")</formula1>
    </dataValidation>
    <dataValidation type="list" allowBlank="1" showInputMessage="1" showErrorMessage="1" sqref="G137:R137">
      <formula1>INDIRECT("B_traitementnox[Technologie_NOX]")</formula1>
    </dataValidation>
    <dataValidation type="list" allowBlank="1" showInputMessage="1" showErrorMessage="1" sqref="G151 G139:R139 I146 H147:J151 J142:J146 K141:P151 Q141:R141 Q151:R151">
      <formula1>INDIRECT("B_fluide[Fluide]")</formula1>
    </dataValidation>
    <dataValidation allowBlank="1" showInputMessage="1" sqref="H199:H201 H281 G72:R72 G232:H232 H286:H288"/>
  </dataValidations>
  <hyperlinks>
    <hyperlink ref="H179" r:id="rId1"/>
    <hyperlink ref="G9:H9" location="'Fiche projet biomasse'!B17" display="1 - Présentation du projet"/>
    <hyperlink ref="G10" location="'Fiche projet biomasse'!B60" display="2 - Description du site et des besoins thermiques actuels et futurs"/>
    <hyperlink ref="G11" location="'Fiche projet biomasse'!B113" display="3 - Caractéristiques techniques des installations aidées"/>
    <hyperlink ref="G12" location="'Fiche projet biomasse'!B175" display="4 - Plan d’approvisionnement en combustible(s) biomasse"/>
    <hyperlink ref="G13" location="'Fiche projet biomasse'!B175" display="5 - Récapitulatif des critères d’éligibilité"/>
    <hyperlink ref="G14" location="'Fiche projet biomasse'!B193" display="6 - Plan de financement"/>
    <hyperlink ref="F22" r:id="rId2"/>
    <hyperlink ref="B102:M102" r:id="rId3" display="Démarche EnRChoix"/>
    <hyperlink ref="J108" r:id="rId4"/>
  </hyperlinks>
  <pageMargins left="0.7" right="0.7" top="0.75" bottom="0.75" header="0.3" footer="0.3"/>
  <pageSetup paperSize="9" scale="80" fitToWidth="0" fitToHeight="0" orientation="landscape" r:id="rId5"/>
  <rowBreaks count="1" manualBreakCount="1">
    <brk id="61" max="16383" man="1"/>
  </rowBreaks>
  <cellWatches>
    <cellWatch r="H300"/>
  </cellWatches>
  <drawing r:id="rId6"/>
  <legacyDrawing r:id="rId7"/>
  <extLst>
    <ext xmlns:x14="http://schemas.microsoft.com/office/spreadsheetml/2009/9/main" uri="{78C0D931-6437-407d-A8EE-F0AAD7539E65}">
      <x14:conditionalFormattings>
        <x14:conditionalFormatting xmlns:xm="http://schemas.microsoft.com/office/excel/2006/main">
          <x14:cfRule type="expression" priority="71" id="{7CF2AE1A-A020-4D0E-A11B-14C5E55D0ECA}">
            <xm:f>$G$219='Menus biomasse'!$AK$13</xm:f>
            <x14:dxf>
              <font>
                <color theme="0"/>
              </font>
              <fill>
                <patternFill>
                  <fgColor theme="0"/>
                  <bgColor theme="0"/>
                </patternFill>
              </fill>
              <border>
                <left/>
                <right/>
                <top/>
                <bottom/>
              </border>
            </x14:dxf>
          </x14:cfRule>
          <xm:sqref>B220:M246 B247:F247 H247:M247 B248:M248 B249:F249 H249:M249 B250:M250 B251:F251 H251:M251 B252:M252 B253:F253 H253:M253 B254:M257</xm:sqref>
        </x14:conditionalFormatting>
        <x14:conditionalFormatting xmlns:xm="http://schemas.microsoft.com/office/excel/2006/main">
          <x14:cfRule type="iconSet" priority="102" id="{01DAF153-AD65-40FA-ADEE-5E1444620C05}">
            <x14:iconSet custom="1">
              <x14:cfvo type="percent">
                <xm:f>0</xm:f>
              </x14:cfvo>
              <x14:cfvo type="num">
                <xm:f>0</xm:f>
              </x14:cfvo>
              <x14:cfvo type="num">
                <xm:f>0.85</xm:f>
              </x14:cfvo>
              <x14:cfIcon iconSet="3TrafficLights1" iconId="0"/>
              <x14:cfIcon iconSet="3TrafficLights1" iconId="0"/>
              <x14:cfIcon iconSet="3TrafficLights1" iconId="2"/>
            </x14:iconSet>
          </x14:cfRule>
          <xm:sqref>H269</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14:formula1>
            <xm:f>'Menus biomasse'!$Y$6:$Y$8</xm:f>
          </x14:formula1>
          <xm:sqref>G30</xm:sqref>
        </x14:dataValidation>
        <x14:dataValidation type="list" allowBlank="1" showInputMessage="1">
          <x14:formula1>
            <xm:f>'Menus biomasse'!$C$7:$C$9</xm:f>
          </x14:formula1>
          <xm:sqref>E38:E41 H203 L111 J190:J191 G80:R80 G92:R92 J114:J116 G111</xm:sqref>
        </x14:dataValidation>
        <x14:dataValidation type="list" allowBlank="1" showInputMessage="1" showErrorMessage="1">
          <x14:formula1>
            <xm:f>'Menus biomasse'!$C$7:$C$8</xm:f>
          </x14:formula1>
          <xm:sqref>J202:J203 J205 G141</xm:sqref>
        </x14:dataValidation>
        <x14:dataValidation type="list" allowBlank="1" showInputMessage="1" showErrorMessage="1">
          <x14:formula1>
            <xm:f>'Menus biomasse'!$AM$6:$AM$15</xm:f>
          </x14:formula1>
          <xm:sqref>G29</xm:sqref>
        </x14:dataValidation>
        <x14:dataValidation type="list" allowBlank="1" showInputMessage="1" showErrorMessage="1">
          <x14:formula1>
            <xm:f>'Menus biomasse'!$C$18:$C$21</xm:f>
          </x14:formula1>
          <xm:sqref>J28</xm:sqref>
        </x14:dataValidation>
        <x14:dataValidation type="list" allowBlank="1" showInputMessage="1">
          <x14:formula1>
            <xm:f>'Menus biomasse'!$AA$6:$AA$18</xm:f>
          </x14:formula1>
          <xm:sqref>G70:R70</xm:sqref>
        </x14:dataValidation>
        <x14:dataValidation type="list" allowBlank="1" showInputMessage="1" showErrorMessage="1">
          <x14:formula1>
            <xm:f>'Menus biomasse'!$A$19:$A$27</xm:f>
          </x14:formula1>
          <xm:sqref>I67</xm:sqref>
        </x14:dataValidation>
        <x14:dataValidation type="list" allowBlank="1" showInputMessage="1" showErrorMessage="1">
          <x14:formula1>
            <xm:f>'Menus biomasse'!$A$30:$A$33</xm:f>
          </x14:formula1>
          <xm:sqref>I68</xm:sqref>
        </x14:dataValidation>
        <x14:dataValidation type="list" allowBlank="1" showInputMessage="1" showErrorMessage="1">
          <x14:formula1>
            <xm:f>'Valeurs de reference'!$D$92:$D$106</xm:f>
          </x14:formula1>
          <xm:sqref>B192:B195 C193:C195 C183:C185 B182:B185 C188:C190 B187:B190</xm:sqref>
        </x14:dataValidation>
        <x14:dataValidation type="list" allowBlank="1" showInputMessage="1" showErrorMessage="1">
          <x14:formula1>
            <xm:f>'Menus biomasse'!$C$7:$C$9</xm:f>
          </x14:formula1>
          <xm:sqref>H283:H285 H272 G141 H263:H264 H267 H275 H289:H294</xm:sqref>
        </x14:dataValidation>
        <x14:dataValidation type="list" allowBlank="1" showInputMessage="1" showErrorMessage="1">
          <x14:formula1>
            <xm:f>'Menus biomasse'!$G$6:$G$12</xm:f>
          </x14:formula1>
          <xm:sqref>H265</xm:sqref>
        </x14:dataValidation>
        <x14:dataValidation type="list" allowBlank="1" showInputMessage="1" showErrorMessage="1">
          <x14:formula1>
            <xm:f>'Menus biomasse'!$A$6:$A$14</xm:f>
          </x14:formula1>
          <xm:sqref>G81:R81 G93:R93</xm:sqref>
        </x14:dataValidation>
        <x14:dataValidation type="list" allowBlank="1" showInputMessage="1" showErrorMessage="1">
          <x14:formula1>
            <xm:f>'Menus biomasse'!$AK$6:$AK$9</xm:f>
          </x14:formula1>
          <xm:sqref>G224:I224</xm:sqref>
        </x14:dataValidation>
        <x14:dataValidation type="list" allowBlank="1" showInputMessage="1" showErrorMessage="1">
          <x14:formula1>
            <xm:f>'Menus biomasse'!$AK$13:$AK$15</xm:f>
          </x14:formula1>
          <xm:sqref>G219</xm:sqref>
        </x14:dataValidation>
        <x14:dataValidation type="list" allowBlank="1" showInputMessage="1" showErrorMessage="1">
          <x14:formula1>
            <xm:f>'Menus biomasse'!$AO$6:$AO$7</xm:f>
          </x14:formula1>
          <xm:sqref>G220:I220</xm:sqref>
        </x14:dataValidation>
        <x14:dataValidation type="list" allowBlank="1" showInputMessage="1">
          <x14:formula1>
            <xm:f>'Menus biomasse'!$K$7:$K$8</xm:f>
          </x14:formula1>
          <xm:sqref>G71:R71</xm:sqref>
        </x14:dataValidation>
        <x14:dataValidation type="list" allowBlank="1" showInputMessage="1" showErrorMessage="1">
          <x14:formula1>
            <xm:f>'Menus biomasse'!$E$6:$E$8</xm:f>
          </x14:formula1>
          <xm:sqref>G126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111"/>
  <sheetViews>
    <sheetView zoomScaleNormal="100" workbookViewId="0">
      <selection activeCell="C2" sqref="C2"/>
    </sheetView>
  </sheetViews>
  <sheetFormatPr defaultColWidth="11.44140625" defaultRowHeight="14.4"/>
  <cols>
    <col min="1" max="1" width="3.5546875" style="1" customWidth="1"/>
    <col min="2" max="4" width="20.5546875" customWidth="1"/>
    <col min="5" max="5" width="21.5546875" customWidth="1"/>
    <col min="6" max="6" width="18.21875" customWidth="1"/>
    <col min="7" max="7" width="20.5546875" customWidth="1"/>
    <col min="8" max="8" width="28.21875" customWidth="1"/>
    <col min="9" max="13" width="20.5546875" customWidth="1"/>
  </cols>
  <sheetData>
    <row r="1" spans="2:84" ht="29.25" customHeight="1">
      <c r="B1" s="707"/>
      <c r="C1" s="708"/>
      <c r="D1" s="709" t="s">
        <v>16</v>
      </c>
      <c r="E1" s="710"/>
      <c r="F1" s="710"/>
      <c r="G1" s="710"/>
      <c r="H1" s="711"/>
      <c r="I1" s="217"/>
      <c r="J1" s="217"/>
      <c r="K1" s="217"/>
      <c r="L1" s="218"/>
      <c r="M1" s="219"/>
      <c r="N1" s="1"/>
      <c r="O1" s="1"/>
      <c r="P1" s="1"/>
      <c r="Q1" s="1"/>
      <c r="R1" s="1"/>
      <c r="S1" s="4"/>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2:84" ht="15.75" customHeight="1">
      <c r="B2" s="712" t="s">
        <v>17</v>
      </c>
      <c r="C2" s="706">
        <f>'Fiche projet biomasse'!M1</f>
        <v>45394</v>
      </c>
      <c r="D2" s="704"/>
      <c r="E2" s="704"/>
      <c r="F2" s="704"/>
      <c r="G2" s="705"/>
      <c r="H2" s="713"/>
      <c r="I2" s="196"/>
      <c r="J2" s="196"/>
      <c r="K2" s="196"/>
      <c r="L2" s="1"/>
      <c r="M2" s="113"/>
      <c r="N2" s="1"/>
      <c r="O2" s="1"/>
      <c r="P2" s="1"/>
      <c r="Q2" s="1"/>
      <c r="R2" s="1"/>
      <c r="S2" s="4"/>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2:84">
      <c r="B3" s="1154" t="s">
        <v>335</v>
      </c>
      <c r="C3" s="1155"/>
      <c r="D3" s="1155"/>
      <c r="E3" s="1155"/>
      <c r="F3" s="1155"/>
      <c r="G3" s="1156"/>
      <c r="H3" s="714"/>
      <c r="I3" s="197"/>
      <c r="J3" s="1142"/>
      <c r="K3" s="1143"/>
      <c r="L3" s="1143"/>
      <c r="M3" s="1143"/>
      <c r="N3" s="1"/>
      <c r="O3" s="1"/>
      <c r="P3" s="1"/>
      <c r="Q3" s="1"/>
      <c r="R3" s="1"/>
      <c r="S3" s="4"/>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2:84">
      <c r="B4" s="1157"/>
      <c r="C4" s="1158"/>
      <c r="D4" s="1158"/>
      <c r="E4" s="1158"/>
      <c r="F4" s="1158"/>
      <c r="G4" s="1159"/>
      <c r="H4" s="714"/>
      <c r="I4" s="197"/>
      <c r="J4" s="1142"/>
      <c r="K4" s="1143"/>
      <c r="L4" s="1143"/>
      <c r="M4" s="1143"/>
      <c r="N4" s="1"/>
      <c r="O4" s="1"/>
      <c r="P4" s="1"/>
      <c r="Q4" s="1"/>
      <c r="R4" s="1"/>
      <c r="S4" s="4"/>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2:84">
      <c r="B5" s="1144">
        <f>'Fiche projet biomasse'!G19</f>
        <v>0</v>
      </c>
      <c r="C5" s="1145"/>
      <c r="D5" s="1145"/>
      <c r="E5" s="1145"/>
      <c r="F5" s="1145"/>
      <c r="G5" s="1146"/>
      <c r="H5" s="714"/>
      <c r="I5" s="197"/>
      <c r="J5" s="1142"/>
      <c r="K5" s="1143"/>
      <c r="L5" s="1143"/>
      <c r="M5" s="1143"/>
      <c r="N5" s="1"/>
      <c r="O5" s="1"/>
      <c r="P5" s="1"/>
      <c r="Q5" s="1"/>
      <c r="R5" s="1"/>
      <c r="S5" s="4"/>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2:84">
      <c r="B6" s="1147"/>
      <c r="C6" s="1148"/>
      <c r="D6" s="1148"/>
      <c r="E6" s="1148"/>
      <c r="F6" s="1148"/>
      <c r="G6" s="1149"/>
      <c r="H6" s="714"/>
      <c r="I6" s="197"/>
      <c r="J6" s="1142"/>
      <c r="K6" s="1143"/>
      <c r="L6" s="1143"/>
      <c r="M6" s="1143"/>
      <c r="N6" s="1"/>
      <c r="O6" s="1"/>
      <c r="P6" s="1"/>
      <c r="Q6" s="1"/>
      <c r="R6" s="1"/>
      <c r="S6" s="4"/>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2:84">
      <c r="B7" s="1150"/>
      <c r="C7" s="1151"/>
      <c r="D7" s="1151"/>
      <c r="E7" s="1151" t="b">
        <v>0</v>
      </c>
      <c r="F7" s="1151"/>
      <c r="G7" s="1152" t="b">
        <v>0</v>
      </c>
      <c r="H7" s="715"/>
      <c r="I7" s="197"/>
      <c r="J7" s="1142"/>
      <c r="K7" s="1143"/>
      <c r="L7" s="1143"/>
      <c r="M7" s="1143"/>
      <c r="N7" s="1"/>
      <c r="O7" s="1"/>
      <c r="P7" s="1"/>
      <c r="Q7" s="1"/>
      <c r="R7" s="1"/>
      <c r="S7" s="4"/>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2:84" ht="30" customHeight="1">
      <c r="B8" s="716" t="s">
        <v>336</v>
      </c>
      <c r="C8" s="1153">
        <f>'Fiche projet biomasse'!F37</f>
        <v>0</v>
      </c>
      <c r="D8" s="1153"/>
      <c r="E8" s="717" t="str">
        <f>IF(G8="Non concurrentiel","",'Fiche projet biomasse'!J28)</f>
        <v/>
      </c>
      <c r="F8" s="718" t="str">
        <f>IF(G8="Non concurrentiel","","entreprise")</f>
        <v/>
      </c>
      <c r="G8" s="241" t="str">
        <f>IF('Fiche projet biomasse'!G28="oui","Opération dans le secteur concurrentiel","Non concurrentiel")</f>
        <v>Non concurrentiel</v>
      </c>
      <c r="H8" s="264"/>
      <c r="I8" s="1"/>
      <c r="J8" s="214"/>
      <c r="K8" s="214"/>
      <c r="L8" s="214"/>
      <c r="M8" s="214"/>
      <c r="N8" s="1"/>
      <c r="O8" s="1"/>
      <c r="P8" s="1"/>
      <c r="Q8" s="1"/>
      <c r="R8" s="1"/>
      <c r="S8" s="4"/>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2:84" ht="30" customHeight="1">
      <c r="B9" s="234" t="s">
        <v>337</v>
      </c>
      <c r="C9" s="1153">
        <f>'Fiche projet biomasse'!G20</f>
        <v>0</v>
      </c>
      <c r="D9" s="1153"/>
      <c r="E9" s="235"/>
      <c r="F9" s="215"/>
      <c r="G9" s="236"/>
      <c r="H9" s="237"/>
      <c r="I9" s="196"/>
      <c r="J9" s="214"/>
      <c r="K9" s="214"/>
      <c r="L9" s="214"/>
      <c r="M9" s="214"/>
      <c r="N9" s="1"/>
      <c r="O9" s="1"/>
      <c r="P9" s="1"/>
      <c r="Q9" s="1"/>
      <c r="R9" s="1"/>
      <c r="S9" s="4"/>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2:84" ht="30" customHeight="1">
      <c r="B10" s="238">
        <f>'Fiche projet biomasse'!F134</f>
        <v>1</v>
      </c>
      <c r="C10" s="239" t="s">
        <v>338</v>
      </c>
      <c r="D10" s="239"/>
      <c r="E10" s="403">
        <f>Puiss_biomasse</f>
        <v>0</v>
      </c>
      <c r="G10" s="239"/>
      <c r="H10" s="240">
        <f>IF(E10&lt;500,0,1)</f>
        <v>0</v>
      </c>
      <c r="I10" s="196"/>
      <c r="J10" s="214"/>
      <c r="K10" s="214"/>
      <c r="L10" s="214"/>
      <c r="M10" s="214"/>
      <c r="N10" s="1"/>
      <c r="O10" s="1"/>
      <c r="P10" s="1"/>
      <c r="Q10" s="1"/>
      <c r="R10" s="1"/>
      <c r="S10" s="4"/>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2:84" ht="30" customHeight="1">
      <c r="B11" s="238">
        <f>'Fiche projet biomasse'!I309</f>
        <v>0</v>
      </c>
      <c r="C11" s="239" t="s">
        <v>339</v>
      </c>
      <c r="D11" s="239"/>
      <c r="E11" s="239" t="str">
        <f>'Fiche projet biomasse'!O309</f>
        <v>Plaquettes</v>
      </c>
      <c r="F11" s="239"/>
      <c r="G11" s="241" t="str">
        <f>IF(B11&lt;1200,"Projet &lt; 1200 MWh","Projet &gt;= 1200 MWh")</f>
        <v>Projet &lt; 1200 MWh</v>
      </c>
      <c r="H11" s="240">
        <f>IF(B11&lt;1200,0,1)</f>
        <v>0</v>
      </c>
      <c r="I11" s="242"/>
      <c r="J11" s="242"/>
      <c r="K11" s="242"/>
      <c r="L11" s="242"/>
      <c r="M11" s="214"/>
      <c r="N11" s="1"/>
      <c r="O11" s="1"/>
      <c r="P11" s="1"/>
      <c r="Q11" s="1"/>
      <c r="R11" s="1"/>
      <c r="S11" s="4"/>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2:84" ht="30" customHeight="1">
      <c r="B12" s="402" t="str">
        <f>IF('Fiche projet biomasse'!G219="Création",'Fiche projet biomasse'!P309,IF('Fiche projet biomasse'!G219="Extension",'Fiche projet biomasse'!Q309,""))</f>
        <v/>
      </c>
      <c r="C12" s="239" t="str">
        <f>IF('Fiche projet biomasse'!G219="Création","ml de réseau de chaleur créé et ",IF('Fiche projet biomasse'!G219="Extension","ml de réseau de chaleur étendu et",""))</f>
        <v/>
      </c>
      <c r="E12" s="365" t="str">
        <f>IF('Fiche projet biomasse'!G219&lt;&gt;'Menus biomasse'!AK13,'Fiche projet biomasse'!I231,"")</f>
        <v/>
      </c>
      <c r="F12" s="239" t="str">
        <f>IF('Fiche projet biomasse'!G219&lt;&gt;'Menus biomasse'!AK13,"supplémentaire de chaleur injectée","")</f>
        <v/>
      </c>
      <c r="G12" s="241"/>
      <c r="H12" s="366" t="str">
        <f>IF('Fiche projet biomasse'!G219&lt;&gt;"Pas de réseau de chaleur","Chaufferie + réseau","Chaufferie dédiée")</f>
        <v>Chaufferie dédiée</v>
      </c>
      <c r="I12" s="405" cm="1">
        <f t="array" ref="I12:K12">IF('Fiche projet biomasse'!G219:I219="Pas de réseau de chaleur",0,1)</f>
        <v>0</v>
      </c>
      <c r="J12" s="405">
        <v>1</v>
      </c>
      <c r="K12" s="405">
        <v>1</v>
      </c>
      <c r="L12" s="242"/>
      <c r="M12" s="214"/>
      <c r="N12" s="1"/>
      <c r="O12" s="1"/>
      <c r="P12" s="1"/>
      <c r="Q12" s="1"/>
      <c r="R12" s="1"/>
      <c r="S12" s="4"/>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2:84" ht="30" customHeight="1">
      <c r="B13" s="244">
        <f>'Fiche projet biomasse'!N309</f>
        <v>0</v>
      </c>
      <c r="C13" s="239" t="s">
        <v>340</v>
      </c>
      <c r="D13" s="243"/>
      <c r="E13" s="239"/>
      <c r="F13" s="1"/>
      <c r="G13" s="241"/>
      <c r="H13" s="237"/>
      <c r="I13" s="242"/>
      <c r="J13" s="242"/>
      <c r="K13" s="242"/>
      <c r="L13" s="242"/>
      <c r="M13" s="214"/>
      <c r="N13" s="1"/>
      <c r="O13" s="1"/>
      <c r="P13" s="1"/>
      <c r="Q13" s="1"/>
      <c r="R13" s="1"/>
      <c r="S13" s="4"/>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2:84" ht="30" customHeight="1">
      <c r="B14" s="245">
        <f>'Fiche projet biomasse'!L309</f>
        <v>0</v>
      </c>
      <c r="C14" s="246" t="s">
        <v>341</v>
      </c>
      <c r="D14" s="246" t="s">
        <v>342</v>
      </c>
      <c r="E14" s="349">
        <f>'Fiche projet biomasse'!K309</f>
        <v>0</v>
      </c>
      <c r="F14" s="247" t="s">
        <v>343</v>
      </c>
      <c r="G14" s="248" t="str">
        <f>IF('Fiche projet biomasse'!M309&lt;&gt;0,"avec cofinancement","")</f>
        <v/>
      </c>
      <c r="H14" s="237"/>
      <c r="I14" s="196"/>
      <c r="J14" s="214"/>
      <c r="K14" s="214"/>
      <c r="L14" s="214"/>
      <c r="M14" s="214"/>
      <c r="N14" s="1"/>
      <c r="O14" s="1"/>
      <c r="P14" s="1"/>
      <c r="Q14" s="1"/>
      <c r="R14" s="1"/>
      <c r="S14" s="4"/>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2:84" ht="30" customHeight="1" thickBot="1">
      <c r="B15" s="249" t="s">
        <v>344</v>
      </c>
      <c r="C15" s="350" t="e">
        <f>'Fiche projet biomasse'!F298</f>
        <v>#DIV/0!</v>
      </c>
      <c r="D15" s="250" t="s">
        <v>345</v>
      </c>
      <c r="E15" s="251"/>
      <c r="F15" s="252"/>
      <c r="G15" s="250"/>
      <c r="H15" s="253"/>
      <c r="I15" s="196"/>
      <c r="J15" s="214"/>
      <c r="K15" s="214"/>
      <c r="L15" s="214"/>
      <c r="M15" s="214"/>
      <c r="N15" s="1"/>
      <c r="O15" s="1"/>
      <c r="P15" s="1"/>
      <c r="Q15" s="1"/>
      <c r="R15" s="1"/>
      <c r="S15" s="4"/>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2:84" ht="30" customHeight="1">
      <c r="B16" s="254" t="s">
        <v>346</v>
      </c>
      <c r="C16" s="255"/>
      <c r="D16" s="256"/>
      <c r="E16" s="257"/>
      <c r="F16" s="258"/>
      <c r="G16" s="258"/>
      <c r="H16" s="259"/>
      <c r="I16" s="196"/>
      <c r="J16" s="214"/>
      <c r="K16" s="214"/>
      <c r="L16" s="214"/>
      <c r="M16" s="214"/>
      <c r="N16" s="1"/>
      <c r="O16" s="1"/>
      <c r="P16" s="1"/>
      <c r="Q16" s="1"/>
      <c r="R16" s="1"/>
      <c r="S16" s="4"/>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2:84">
      <c r="B17" s="260" t="s">
        <v>347</v>
      </c>
      <c r="C17" s="261"/>
      <c r="D17" s="262" t="str">
        <f>IF('Fiche projet biomasse'!H265&lt;&gt;"","OK","Non éligible")</f>
        <v>Non éligible</v>
      </c>
      <c r="E17" s="263" t="s">
        <v>142</v>
      </c>
      <c r="F17" s="263"/>
      <c r="G17" s="263" t="str">
        <f>IF(AND('Fiche projet biomasse'!K276="",'Fiche projet biomasse'!K277="",'Fiche projet biomasse'!K278="",'Fiche projet biomasse'!K279=""),"OK","Non éligible")</f>
        <v>OK</v>
      </c>
      <c r="H17" s="404" t="str">
        <f>IF('Fiche projet biomasse'!H274="oui","Attention PPA","")</f>
        <v/>
      </c>
      <c r="I17" s="1"/>
      <c r="J17" s="265"/>
      <c r="P17" s="1"/>
      <c r="Q17" s="1"/>
      <c r="R17" s="1"/>
      <c r="S17" s="4"/>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2:84">
      <c r="B18" s="260" t="s">
        <v>348</v>
      </c>
      <c r="C18" s="263"/>
      <c r="D18" s="263" t="str">
        <f>IF('Fiche projet biomasse'!H272="Oui","OK","Non éligible")</f>
        <v>Non éligible</v>
      </c>
      <c r="E18" s="263" t="s">
        <v>349</v>
      </c>
      <c r="F18" s="263"/>
      <c r="G18" s="263" t="str">
        <f>'Fiche projet biomasse'!H281</f>
        <v>Non</v>
      </c>
      <c r="H18" s="264"/>
      <c r="I18" s="1"/>
      <c r="J18" s="266"/>
    </row>
    <row r="19" spans="2:84">
      <c r="B19" s="260" t="s">
        <v>350</v>
      </c>
      <c r="C19" s="263"/>
      <c r="D19" s="262" t="str">
        <f>IF('Fiche projet biomasse'!G131&lt;0.85,"Non éligible","OK")</f>
        <v>Non éligible</v>
      </c>
      <c r="E19" s="263" t="str">
        <f>IF('Fiche projet biomasse'!G219&lt;&gt;"Pas de réseau de chaleur","Eligibilité du réseau de chaleur","")</f>
        <v/>
      </c>
      <c r="F19" s="263"/>
      <c r="G19" s="263" t="str">
        <f>IF('Fiche projet biomasse'!G219&lt;&gt;"Pas de réseau de chaleur",IF(AND('Fiche projet biomasse'!H286="Oui",'Fiche projet biomasse'!H287="Oui",'Fiche projet biomasse'!H288="Oui",'Fiche projet biomasse'!H283="Oui",'Fiche projet biomasse'!H284="Oui",'Fiche projet biomasse'!H285="Oui",'Fiche projet biomasse'!H289="Oui",'Fiche projet biomasse'!H290="Oui",'Fiche projet biomasse'!H292="Oui",'Fiche projet biomasse'!H291="Oui"),"OK","Vérifier les critères d'éligibilités"),"")</f>
        <v/>
      </c>
      <c r="H19" s="264"/>
      <c r="I19" s="1"/>
      <c r="J19" s="266"/>
      <c r="K19" s="1141">
        <f>IFERROR((IF(ch_nature_activite=chnoneco,VLOOKUP(ch_localisation,intensité_prod_enrr_non_eco,3,FALSE),VLOOKUP(ch_nature_activite&amp;"-"&amp;ch_taille&amp;"-"&amp;ch_localisation,intensité_prod_enrr_eco,2,FALSE))+0.1)*G20,0)</f>
        <v>0</v>
      </c>
      <c r="L19" s="1141"/>
    </row>
    <row r="20" spans="2:84">
      <c r="B20" s="260" t="s">
        <v>351</v>
      </c>
      <c r="C20" s="263"/>
      <c r="D20" s="267" t="str">
        <f>'Fiche projet biomasse'!H271</f>
        <v>OK</v>
      </c>
      <c r="E20" s="263" t="s">
        <v>352</v>
      </c>
      <c r="F20" s="1"/>
      <c r="G20" s="263" t="str">
        <f>'Fiche projet biomasse'!J302</f>
        <v>OK</v>
      </c>
      <c r="H20" s="264"/>
      <c r="I20" s="1"/>
      <c r="J20" s="266"/>
    </row>
    <row r="21" spans="2:84" ht="15" thickBot="1">
      <c r="B21" s="232"/>
      <c r="C21" s="233"/>
      <c r="D21" s="233"/>
      <c r="E21" s="268"/>
      <c r="F21" s="269"/>
      <c r="G21" s="270"/>
      <c r="H21" s="271"/>
      <c r="I21" s="1"/>
      <c r="J21" s="266"/>
    </row>
    <row r="22" spans="2:84">
      <c r="B22" s="202"/>
      <c r="C22" s="202"/>
      <c r="D22" s="202"/>
      <c r="E22" s="272"/>
      <c r="F22" s="1"/>
      <c r="G22" s="273"/>
      <c r="H22" s="1"/>
      <c r="I22" s="1"/>
    </row>
    <row r="23" spans="2:84" ht="18">
      <c r="B23" s="257" t="s">
        <v>353</v>
      </c>
      <c r="C23" s="263"/>
      <c r="D23" s="263"/>
      <c r="E23" s="263"/>
      <c r="F23" s="1"/>
      <c r="G23" s="1"/>
      <c r="H23" s="1"/>
      <c r="I23" s="1"/>
    </row>
    <row r="24" spans="2:84" ht="15" customHeight="1">
      <c r="B24" s="1135"/>
      <c r="C24" s="1135"/>
      <c r="D24" s="1135"/>
      <c r="E24" s="1135"/>
      <c r="F24" s="1135"/>
      <c r="G24" s="1135"/>
      <c r="H24" s="1135"/>
      <c r="I24" s="1"/>
    </row>
    <row r="25" spans="2:84">
      <c r="B25" s="1135" t="s">
        <v>354</v>
      </c>
      <c r="C25" s="1135"/>
      <c r="D25" s="1135"/>
      <c r="E25" s="1135"/>
      <c r="F25" s="1135"/>
      <c r="G25" s="1135"/>
      <c r="H25" s="1135"/>
      <c r="I25" s="1"/>
    </row>
    <row r="26" spans="2:84">
      <c r="B26" s="1135" t="s">
        <v>355</v>
      </c>
      <c r="C26" s="1135"/>
      <c r="D26" s="1135"/>
      <c r="E26" s="1135"/>
      <c r="F26" s="1135"/>
      <c r="G26" s="1135"/>
      <c r="H26" s="1135"/>
      <c r="I26" s="1"/>
    </row>
    <row r="27" spans="2:84" ht="11.25" customHeight="1">
      <c r="B27" s="1"/>
      <c r="C27" s="1135" t="s">
        <v>356</v>
      </c>
      <c r="D27" s="1135"/>
      <c r="E27" s="1135"/>
      <c r="F27" s="1135"/>
      <c r="G27" s="1135"/>
      <c r="H27" s="1135"/>
      <c r="I27" s="353"/>
    </row>
    <row r="28" spans="2:84" ht="11.25" customHeight="1">
      <c r="B28" s="1"/>
      <c r="C28" s="1135" t="s">
        <v>357</v>
      </c>
      <c r="D28" s="1135"/>
      <c r="E28" s="1135"/>
      <c r="F28" s="1135"/>
      <c r="G28" s="1135"/>
      <c r="H28" s="1135"/>
      <c r="I28" s="1"/>
    </row>
    <row r="29" spans="2:84" ht="12" customHeight="1">
      <c r="B29" s="1"/>
      <c r="C29" s="1135" t="s">
        <v>358</v>
      </c>
      <c r="D29" s="1135"/>
      <c r="E29" s="1135"/>
      <c r="F29" s="1135"/>
      <c r="G29" s="1135"/>
      <c r="H29" s="1135"/>
      <c r="I29" s="1"/>
    </row>
    <row r="30" spans="2:84">
      <c r="B30" s="4"/>
      <c r="C30" s="1135" t="str">
        <f>IF(H11,"Pour les installations &gt; 1200 MWh, les contrats d’approvisionnement en vigueur et conformes aux volets techniques ; ","")</f>
        <v/>
      </c>
      <c r="D30" s="1135"/>
      <c r="E30" s="1135"/>
      <c r="F30" s="1135"/>
      <c r="G30" s="1135"/>
      <c r="H30" s="1135"/>
      <c r="I30" s="1"/>
    </row>
    <row r="31" spans="2:84" ht="13.05" customHeight="1">
      <c r="B31" s="1135" t="str">
        <f>IF(AND(H10,H11=0),"Pour les installations biomasse ≥ 500 kW non soumises aux VLE ICPE : ","")</f>
        <v/>
      </c>
      <c r="C31" s="1135"/>
      <c r="D31" s="1135"/>
      <c r="E31" s="1135"/>
      <c r="F31" s="1135"/>
      <c r="G31" s="1135"/>
      <c r="I31" s="1"/>
    </row>
    <row r="32" spans="2:84" ht="24" customHeight="1">
      <c r="B32" s="1"/>
      <c r="C32" s="1135" t="str">
        <f>IF(AND(H10,H11=0),"un rapport de mesure des émissions réalisé par un organisme indépendant selon la méthode normalisée et démontrant la conformité au présent volet technique (mesure a minima des émissions de poussières, des Nox, de CO et SO2) ","")</f>
        <v/>
      </c>
      <c r="D32" s="1135"/>
      <c r="E32" s="1135"/>
      <c r="F32" s="1135"/>
      <c r="G32" s="1135"/>
      <c r="H32" s="1135"/>
      <c r="I32" s="1"/>
    </row>
    <row r="33" spans="2:9" ht="27.6" customHeight="1">
      <c r="B33" s="1135" t="s">
        <v>359</v>
      </c>
      <c r="C33" s="1135"/>
      <c r="D33" s="1135"/>
      <c r="E33" s="1135"/>
      <c r="F33" s="1135"/>
      <c r="G33" s="1135"/>
      <c r="H33" s="1135"/>
      <c r="I33" s="1"/>
    </row>
    <row r="34" spans="2:9">
      <c r="B34" s="1135" t="str">
        <f>IF(I12,"Pour les réseaux de chaleur : ","")</f>
        <v/>
      </c>
      <c r="C34" s="1135"/>
      <c r="D34" s="1135"/>
      <c r="E34" s="1135"/>
      <c r="F34" s="1135"/>
      <c r="G34" s="1135"/>
      <c r="H34" s="1135"/>
      <c r="I34" s="1"/>
    </row>
    <row r="35" spans="2:9" ht="12" customHeight="1">
      <c r="B35" s="314"/>
      <c r="C35" s="1135" t="str">
        <f>IF(I12,"le procès-verbal de réception des travaux de création ou d'extension du réseau : présentation d’une attestation de bon fonctionnement de l’installation (par ex : PV de mise en service, essais COPREC…).","")</f>
        <v/>
      </c>
      <c r="D35" s="1135"/>
      <c r="E35" s="1135"/>
      <c r="F35" s="1135"/>
      <c r="G35" s="1135"/>
      <c r="H35" s="1135"/>
      <c r="I35" s="1"/>
    </row>
    <row r="36" spans="2:9" ht="26.1" customHeight="1">
      <c r="B36" s="314"/>
      <c r="C36" s="1135" t="str">
        <f>IF(I12,"le tableau des métrés et des DN actualisés du réseau, avec les données définitives après facturation.
un plan de masse définitif des tracés à l’échelle au format PDF + sous format SIG selon les modalités nécessaires à France Chaleur Urbaine","")</f>
        <v/>
      </c>
      <c r="D36" s="1135"/>
      <c r="E36" s="1135"/>
      <c r="F36" s="1135"/>
      <c r="G36" s="1135"/>
      <c r="H36" s="1135"/>
      <c r="I36" s="1"/>
    </row>
    <row r="37" spans="2:9">
      <c r="B37" s="314"/>
      <c r="C37" s="1135" t="str">
        <f>IF(I12,"les modifications techniques éventuelles apportées sur l’installation. ","")</f>
        <v/>
      </c>
      <c r="D37" s="1135"/>
      <c r="E37" s="1135"/>
      <c r="F37" s="1135"/>
      <c r="G37" s="1135"/>
      <c r="H37" s="1135"/>
      <c r="I37" s="1"/>
    </row>
    <row r="38" spans="2:9">
      <c r="B38" s="314"/>
      <c r="C38" s="1135"/>
      <c r="D38" s="1135"/>
      <c r="E38" s="1135"/>
      <c r="F38" s="1135"/>
      <c r="G38" s="1135"/>
      <c r="H38" s="1135"/>
      <c r="I38" s="1"/>
    </row>
    <row r="39" spans="2:9" ht="18.75" customHeight="1">
      <c r="B39" s="1135" t="s">
        <v>360</v>
      </c>
      <c r="C39" s="1135"/>
      <c r="D39" s="1135"/>
      <c r="E39" s="1135"/>
      <c r="F39" s="1135"/>
      <c r="G39" s="1135"/>
      <c r="H39" s="1135"/>
      <c r="I39" s="1"/>
    </row>
    <row r="40" spans="2:9" ht="18.75" customHeight="1">
      <c r="B40" s="1135" t="s">
        <v>361</v>
      </c>
      <c r="C40" s="1135"/>
      <c r="D40" s="1135"/>
      <c r="E40" s="1135"/>
      <c r="F40" s="1135"/>
      <c r="G40" s="1135"/>
      <c r="H40" s="1135"/>
      <c r="I40" s="1"/>
    </row>
    <row r="41" spans="2:9" ht="18.75" customHeight="1">
      <c r="B41" s="1135" t="s">
        <v>362</v>
      </c>
      <c r="C41" s="1135"/>
      <c r="D41" s="1135"/>
      <c r="E41" s="1135"/>
      <c r="F41" s="1135"/>
      <c r="G41" s="1135"/>
      <c r="H41" s="1135"/>
      <c r="I41" s="1"/>
    </row>
    <row r="42" spans="2:9" ht="18.75" customHeight="1">
      <c r="B42" s="314"/>
      <c r="C42" s="1138" t="s">
        <v>363</v>
      </c>
      <c r="D42" s="1138"/>
      <c r="E42" s="1138"/>
      <c r="F42" s="1138"/>
      <c r="G42" s="1138"/>
      <c r="H42" s="1138"/>
      <c r="I42" s="1"/>
    </row>
    <row r="43" spans="2:9" ht="18.75" customHeight="1">
      <c r="B43" s="314"/>
      <c r="C43" s="314"/>
      <c r="D43" s="1135" t="s">
        <v>364</v>
      </c>
      <c r="E43" s="1135"/>
      <c r="F43" s="1135"/>
      <c r="G43" s="1135"/>
      <c r="H43" s="1135"/>
      <c r="I43" s="1"/>
    </row>
    <row r="44" spans="2:9" ht="18.75" customHeight="1">
      <c r="B44" s="314"/>
      <c r="D44" s="1135" t="s">
        <v>365</v>
      </c>
      <c r="E44" s="1135"/>
      <c r="F44" s="1135"/>
      <c r="G44" s="1135"/>
      <c r="H44" s="1135"/>
      <c r="I44" s="1"/>
    </row>
    <row r="45" spans="2:9" ht="18.75" customHeight="1">
      <c r="B45" s="314"/>
      <c r="C45" s="314"/>
      <c r="D45" s="1135" t="s">
        <v>366</v>
      </c>
      <c r="E45" s="1135"/>
      <c r="F45" s="1135"/>
      <c r="G45" s="1135"/>
      <c r="H45" s="1135"/>
      <c r="I45" s="1"/>
    </row>
    <row r="46" spans="2:9" ht="24" customHeight="1">
      <c r="B46" s="314"/>
      <c r="C46" s="314"/>
      <c r="D46" s="1135" t="s">
        <v>367</v>
      </c>
      <c r="E46" s="1135"/>
      <c r="F46" s="1135"/>
      <c r="G46" s="1135"/>
      <c r="H46" s="1135"/>
      <c r="I46" s="1"/>
    </row>
    <row r="47" spans="2:9" ht="18" customHeight="1">
      <c r="B47" s="314"/>
      <c r="C47" s="1135" t="str">
        <f>IF(AND(B11&gt;1200)*(H10),"Pour les installations biomasse ≥ 500 kW non soumises aux VLE ICPE : ","")</f>
        <v/>
      </c>
      <c r="D47" s="1135"/>
      <c r="E47" s="1135"/>
      <c r="F47" s="1135"/>
      <c r="G47" s="1135"/>
      <c r="H47" s="1135"/>
      <c r="I47" s="1"/>
    </row>
    <row r="48" spans="2:9" ht="27" customHeight="1">
      <c r="B48" s="314"/>
      <c r="C48" s="1137" t="str">
        <f>IF(B11&gt;1200,"un rapport de mesure des émissions réalisé par un organisme indépendant selon la méthode normalisée et démontrant la conformité au présent volet technique (mesure a minima des émissions de poussières, des Nox, de CO et SO2)","")</f>
        <v/>
      </c>
      <c r="D48" s="1135"/>
      <c r="E48" s="1135"/>
      <c r="F48" s="1135"/>
      <c r="G48" s="1135"/>
      <c r="H48" s="1135"/>
      <c r="I48" s="1"/>
    </row>
    <row r="49" spans="2:9" ht="28.5" customHeight="1">
      <c r="B49" s="1"/>
      <c r="C49" s="1137" t="str">
        <f>IF(B11&gt;1200,"et/ ou pour les installations soumises aux VLE/ICPE, les rapports sur les mesures d’émissions de CO, COVNM, SOx, NOx, et poussières réalisés dans le cadre de la réglementation liée aux installations classées pour la protection de l’environnement (ICPE)","")</f>
        <v/>
      </c>
      <c r="D49" s="1135"/>
      <c r="E49" s="1135"/>
      <c r="F49" s="1135"/>
      <c r="G49" s="1135"/>
      <c r="H49" s="1135"/>
      <c r="I49" s="1"/>
    </row>
    <row r="50" spans="2:9" ht="36" customHeight="1">
      <c r="B50" s="314"/>
      <c r="C50" s="1135" t="s">
        <v>368</v>
      </c>
      <c r="D50" s="1135"/>
      <c r="E50" s="1135"/>
      <c r="F50" s="1135"/>
      <c r="G50" s="1135"/>
      <c r="H50" s="1135"/>
      <c r="I50" s="1"/>
    </row>
    <row r="51" spans="2:9" ht="18" customHeight="1">
      <c r="B51" s="1136" t="s">
        <v>369</v>
      </c>
      <c r="C51" s="1136"/>
      <c r="D51" s="1136"/>
      <c r="E51" s="1136"/>
      <c r="F51" s="1136"/>
      <c r="G51" s="1136"/>
      <c r="H51" s="1136"/>
      <c r="I51" s="1"/>
    </row>
    <row r="52" spans="2:9" ht="15.75" customHeight="1">
      <c r="B52" s="722"/>
      <c r="C52" s="1136" t="s">
        <v>370</v>
      </c>
      <c r="D52" s="1136"/>
      <c r="E52" s="1136"/>
      <c r="F52" s="1136"/>
      <c r="G52" s="1136"/>
      <c r="H52" s="1136"/>
      <c r="I52" s="1"/>
    </row>
    <row r="53" spans="2:9" ht="15.75" customHeight="1">
      <c r="B53" s="722"/>
      <c r="C53" s="1136" t="s">
        <v>371</v>
      </c>
      <c r="D53" s="1136"/>
      <c r="E53" s="1136"/>
      <c r="F53" s="1136"/>
      <c r="G53" s="1136"/>
      <c r="H53" s="1136"/>
      <c r="I53" s="1"/>
    </row>
    <row r="54" spans="2:9" ht="23.25" customHeight="1">
      <c r="B54" s="722"/>
      <c r="C54" s="1136" t="s">
        <v>372</v>
      </c>
      <c r="D54" s="1136"/>
      <c r="E54" s="1136"/>
      <c r="F54" s="1136"/>
      <c r="G54" s="1136"/>
      <c r="H54" s="1136"/>
      <c r="I54" s="1"/>
    </row>
    <row r="55" spans="2:9" ht="15.75" customHeight="1">
      <c r="B55" s="722"/>
      <c r="C55" s="1136" t="s">
        <v>373</v>
      </c>
      <c r="D55" s="1136"/>
      <c r="E55" s="1136"/>
      <c r="F55" s="1136"/>
      <c r="G55" s="1136"/>
      <c r="H55" s="1136"/>
      <c r="I55" s="1"/>
    </row>
    <row r="56" spans="2:9" ht="32.1" customHeight="1">
      <c r="B56" s="722"/>
      <c r="C56" s="1136" t="s">
        <v>374</v>
      </c>
      <c r="D56" s="1136"/>
      <c r="E56" s="1136"/>
      <c r="F56" s="1136"/>
      <c r="G56" s="1136"/>
      <c r="H56" s="1136"/>
      <c r="I56" s="1"/>
    </row>
    <row r="57" spans="2:9" ht="23.25" customHeight="1">
      <c r="B57" s="1135" t="s">
        <v>375</v>
      </c>
      <c r="C57" s="1135"/>
      <c r="D57" s="1135"/>
      <c r="E57" s="1135"/>
      <c r="F57" s="1135"/>
      <c r="G57" s="1135"/>
      <c r="H57" s="1135"/>
      <c r="I57" s="1"/>
    </row>
    <row r="58" spans="2:9" ht="18">
      <c r="B58" s="257" t="s">
        <v>376</v>
      </c>
      <c r="C58" s="1"/>
      <c r="D58" s="1"/>
      <c r="E58" s="1"/>
      <c r="F58" s="1"/>
      <c r="G58" s="1"/>
      <c r="H58" s="1"/>
      <c r="I58" s="1"/>
    </row>
    <row r="59" spans="2:9">
      <c r="B59" s="1140"/>
      <c r="C59" s="1140"/>
      <c r="D59" s="1140"/>
      <c r="E59" s="1140"/>
      <c r="F59" s="1140"/>
      <c r="G59" s="1140"/>
      <c r="H59" s="1140"/>
      <c r="I59" s="1"/>
    </row>
    <row r="60" spans="2:9">
      <c r="B60" s="1135" t="s">
        <v>377</v>
      </c>
      <c r="C60" s="1135"/>
      <c r="D60" s="1135"/>
      <c r="E60" s="1135"/>
      <c r="F60" s="1135"/>
      <c r="G60" s="1135"/>
      <c r="H60" s="1135"/>
      <c r="I60" s="1"/>
    </row>
    <row r="61" spans="2:9" ht="15.6">
      <c r="B61" s="275" t="s">
        <v>378</v>
      </c>
      <c r="C61" s="1"/>
      <c r="D61" s="1"/>
      <c r="E61" s="1"/>
      <c r="F61" s="1"/>
      <c r="G61" s="1"/>
      <c r="H61" s="1"/>
      <c r="I61" s="1"/>
    </row>
    <row r="62" spans="2:9">
      <c r="B62" s="276" t="str">
        <f>IF(B11=0,"",_xlfn.CONCAT(_xlfn.CONCAT("Le maître d'ouvrage s'engage sur une production de chaleur supplémentaire à partir de biomasse en sortie de chaudière de ",TEXT(B11,"### ### ###,00"))," MWh/an."))</f>
        <v/>
      </c>
      <c r="C62" s="277"/>
      <c r="D62" s="277"/>
      <c r="E62" s="277"/>
      <c r="F62" s="277"/>
      <c r="G62" s="279"/>
      <c r="H62" s="1"/>
      <c r="I62" s="1"/>
    </row>
    <row r="63" spans="2:9">
      <c r="B63" s="276" t="s">
        <v>822</v>
      </c>
      <c r="C63" s="277"/>
      <c r="D63" s="277"/>
      <c r="E63" s="277"/>
      <c r="F63" s="277"/>
      <c r="G63" s="279"/>
      <c r="H63" s="1"/>
      <c r="I63" s="1"/>
    </row>
    <row r="64" spans="2:9">
      <c r="B64" s="1136" t="str">
        <f>IF(B11&gt;=1200,"Pour les installations ≥ 1200 MWh/an : ","")</f>
        <v/>
      </c>
      <c r="C64" s="1136"/>
      <c r="D64" s="1136"/>
      <c r="E64" s="1136"/>
      <c r="F64" s="1136"/>
      <c r="G64" s="1136"/>
      <c r="H64" s="1136"/>
      <c r="I64" s="1"/>
    </row>
    <row r="65" spans="2:9" ht="15" customHeight="1">
      <c r="B65" s="723"/>
      <c r="C65" s="1136" t="str">
        <f>IF(B11&gt;=1200,"Cette valeur constitue la référence pour le calcul du versement du solde de la convention.","")</f>
        <v/>
      </c>
      <c r="D65" s="1136"/>
      <c r="E65" s="1136"/>
      <c r="F65" s="1136"/>
      <c r="G65" s="1136"/>
      <c r="H65" s="1136"/>
      <c r="I65" s="351"/>
    </row>
    <row r="66" spans="2:9" ht="29.25" customHeight="1">
      <c r="B66" s="723"/>
      <c r="C66" s="1136" t="str">
        <f>IF(B11&gt;=1200,"Le montant du solde de l'aide relative à l'installation de production d'EnR&amp;R sera déterminé en fonction du nombre de MWh EnR&amp;R réellement produits par l'installation aidée sur une période de 12 mois consécutifs"&amp;" (dans un délai de 30 mois après la réception de l'installation), par rapport à l'engagement initial. ","")</f>
        <v/>
      </c>
      <c r="D66" s="1136"/>
      <c r="E66" s="1136"/>
      <c r="F66" s="1136"/>
      <c r="G66" s="1136"/>
      <c r="H66" s="1136"/>
      <c r="I66" s="1"/>
    </row>
    <row r="67" spans="2:9" ht="21" customHeight="1">
      <c r="B67" s="723"/>
      <c r="C67" s="1136" t="str">
        <f>IF(B11&gt;=1200,"Si au moins 80% de l’engagement initial de MWh EnR&amp;R est atteint, le solde est versé en intégralité ;","")</f>
        <v/>
      </c>
      <c r="D67" s="1136"/>
      <c r="E67" s="1136"/>
      <c r="F67" s="1136"/>
      <c r="G67" s="1136"/>
      <c r="H67" s="1136"/>
      <c r="I67" s="1"/>
    </row>
    <row r="68" spans="2:9" ht="15" customHeight="1">
      <c r="B68" s="723"/>
      <c r="C68" s="1136" t="str">
        <f>IF(B11&gt;=1200,"Si moins de 80% de l’engagement initial de MWh EnR&amp;R est atteint, aucun solde n’est versé. ","")</f>
        <v/>
      </c>
      <c r="D68" s="1136"/>
      <c r="E68" s="1136"/>
      <c r="F68" s="1136"/>
      <c r="G68" s="1136"/>
      <c r="H68" s="1136"/>
      <c r="I68" s="1"/>
    </row>
    <row r="69" spans="2:9" ht="15.6">
      <c r="B69" s="275" t="s">
        <v>379</v>
      </c>
      <c r="C69" s="263"/>
      <c r="D69" s="1"/>
      <c r="E69" s="1"/>
      <c r="F69" s="1"/>
      <c r="G69" s="1"/>
      <c r="H69" s="1"/>
      <c r="I69" s="1"/>
    </row>
    <row r="70" spans="2:9" ht="34.5" customHeight="1">
      <c r="B70" s="1135" t="s">
        <v>380</v>
      </c>
      <c r="C70" s="1135"/>
      <c r="D70" s="1135"/>
      <c r="E70" s="1135"/>
      <c r="F70" s="1135"/>
      <c r="G70" s="1135"/>
      <c r="H70" s="1135"/>
      <c r="I70" s="1"/>
    </row>
    <row r="71" spans="2:9">
      <c r="B71" s="1135"/>
      <c r="C71" s="1135"/>
      <c r="D71" s="1135"/>
      <c r="E71" s="1135"/>
      <c r="F71" s="1135"/>
      <c r="G71" s="1135"/>
      <c r="H71" s="1135"/>
      <c r="I71" s="1"/>
    </row>
    <row r="72" spans="2:9">
      <c r="B72" s="1135" t="s">
        <v>381</v>
      </c>
      <c r="C72" s="1135"/>
      <c r="D72" s="1135"/>
      <c r="E72" s="1135"/>
      <c r="F72" s="1135"/>
      <c r="G72" s="1135"/>
      <c r="H72" s="1135"/>
      <c r="I72" s="1"/>
    </row>
    <row r="73" spans="2:9">
      <c r="B73" s="352" t="s">
        <v>382</v>
      </c>
      <c r="C73" s="263"/>
      <c r="D73" s="1"/>
      <c r="E73" s="1"/>
      <c r="F73" s="1"/>
      <c r="G73" s="1"/>
      <c r="H73" s="1"/>
      <c r="I73" s="1"/>
    </row>
    <row r="74" spans="2:9" ht="39.75" customHeight="1">
      <c r="B74" s="1135" t="s">
        <v>383</v>
      </c>
      <c r="C74" s="1135"/>
      <c r="D74" s="1135"/>
      <c r="E74" s="1135"/>
      <c r="F74" s="1135"/>
      <c r="G74" s="1135"/>
      <c r="H74" s="1135"/>
      <c r="I74" s="1"/>
    </row>
    <row r="75" spans="2:9">
      <c r="B75" s="1138" t="s">
        <v>384</v>
      </c>
      <c r="C75" s="1135"/>
      <c r="D75" s="1135"/>
      <c r="E75" s="1135"/>
      <c r="F75" s="1135"/>
      <c r="G75" s="1135"/>
      <c r="H75" s="1135"/>
      <c r="I75" s="1"/>
    </row>
    <row r="76" spans="2:9" ht="15.6">
      <c r="B76" s="275" t="s">
        <v>385</v>
      </c>
      <c r="C76" s="275"/>
      <c r="D76" s="275"/>
      <c r="E76" s="275"/>
      <c r="F76" s="275"/>
      <c r="G76" s="275"/>
      <c r="H76" s="275"/>
      <c r="I76" s="1"/>
    </row>
    <row r="77" spans="2:9">
      <c r="B77" s="1135" t="s">
        <v>386</v>
      </c>
      <c r="C77" s="1135"/>
      <c r="D77" s="1135"/>
      <c r="E77" s="1135"/>
      <c r="F77" s="1135"/>
      <c r="G77" s="1135"/>
      <c r="H77" s="1135"/>
      <c r="I77" s="1"/>
    </row>
    <row r="78" spans="2:9">
      <c r="B78" s="1135" t="s">
        <v>387</v>
      </c>
      <c r="C78" s="1135"/>
      <c r="D78" s="1135"/>
      <c r="E78" s="1135"/>
      <c r="F78" s="1135"/>
      <c r="G78" s="1135"/>
      <c r="H78" s="1135"/>
      <c r="I78" s="1"/>
    </row>
    <row r="79" spans="2:9" ht="48" customHeight="1">
      <c r="C79" s="1135" t="s">
        <v>388</v>
      </c>
      <c r="D79" s="1135"/>
      <c r="E79" s="1135"/>
      <c r="F79" s="1135"/>
      <c r="G79" s="1135"/>
      <c r="H79" s="1135"/>
      <c r="I79" s="1"/>
    </row>
    <row r="80" spans="2:9" ht="15" customHeight="1">
      <c r="B80" s="1135" t="s">
        <v>389</v>
      </c>
      <c r="C80" s="1135"/>
      <c r="D80" s="1135"/>
      <c r="E80" s="1135"/>
      <c r="F80" s="1135"/>
      <c r="G80" s="1135"/>
      <c r="H80" s="1135"/>
      <c r="I80" s="1"/>
    </row>
    <row r="81" spans="1:9" ht="26.25" customHeight="1">
      <c r="B81" s="1"/>
      <c r="C81" s="1135" t="s">
        <v>390</v>
      </c>
      <c r="D81" s="1135"/>
      <c r="E81" s="1135"/>
      <c r="F81" s="1135"/>
      <c r="G81" s="1135"/>
      <c r="H81" s="1135"/>
      <c r="I81" s="1"/>
    </row>
    <row r="82" spans="1:9" ht="27" customHeight="1">
      <c r="B82" s="1135" t="s">
        <v>391</v>
      </c>
      <c r="C82" s="1135"/>
      <c r="D82" s="1135"/>
      <c r="E82" s="1135"/>
      <c r="F82" s="1135"/>
      <c r="G82" s="1135"/>
      <c r="H82" s="1135"/>
      <c r="I82" s="1"/>
    </row>
    <row r="83" spans="1:9" ht="15.6">
      <c r="B83" s="275" t="s">
        <v>392</v>
      </c>
      <c r="C83" s="1"/>
      <c r="D83" s="1"/>
      <c r="E83" s="1"/>
      <c r="F83" s="1"/>
      <c r="G83" s="1"/>
      <c r="H83" s="1"/>
      <c r="I83" s="1"/>
    </row>
    <row r="84" spans="1:9" ht="18" customHeight="1">
      <c r="B84" s="1135" t="s">
        <v>393</v>
      </c>
      <c r="C84" s="1135"/>
      <c r="D84" s="1135"/>
      <c r="E84" s="1135"/>
      <c r="F84" s="1135"/>
      <c r="G84" s="1135"/>
      <c r="H84" s="1135"/>
      <c r="I84" s="1"/>
    </row>
    <row r="85" spans="1:9" ht="296.25" customHeight="1">
      <c r="B85" s="1135" t="s">
        <v>394</v>
      </c>
      <c r="C85" s="1135"/>
      <c r="D85" s="1135"/>
      <c r="E85" s="1135"/>
      <c r="F85" s="1135"/>
      <c r="G85" s="1135"/>
      <c r="H85" s="1135"/>
      <c r="I85" s="1"/>
    </row>
    <row r="86" spans="1:9" ht="15.6">
      <c r="B86" s="275" t="s">
        <v>395</v>
      </c>
      <c r="C86" s="1"/>
      <c r="D86" s="1"/>
      <c r="E86" s="1"/>
      <c r="F86" s="1"/>
      <c r="G86" s="1"/>
      <c r="H86" s="1"/>
      <c r="I86" s="1"/>
    </row>
    <row r="87" spans="1:9" ht="15.6">
      <c r="B87" s="724" t="s">
        <v>396</v>
      </c>
      <c r="C87" s="275"/>
      <c r="D87" s="275"/>
      <c r="E87" s="275"/>
      <c r="F87" s="275"/>
      <c r="G87" s="275"/>
      <c r="H87" s="275"/>
      <c r="I87" s="1"/>
    </row>
    <row r="88" spans="1:9">
      <c r="B88" s="1135" t="s">
        <v>397</v>
      </c>
      <c r="C88" s="1135"/>
      <c r="D88" s="1135"/>
      <c r="E88" s="1135"/>
      <c r="F88" s="1135"/>
      <c r="G88" s="1135"/>
      <c r="H88" s="1135"/>
      <c r="I88" s="1"/>
    </row>
    <row r="89" spans="1:9">
      <c r="B89" s="1135" t="s">
        <v>398</v>
      </c>
      <c r="C89" s="1135"/>
      <c r="D89" s="1135"/>
      <c r="E89" s="1135"/>
      <c r="F89" s="1135"/>
      <c r="G89" s="1135"/>
      <c r="H89" s="1135"/>
      <c r="I89" s="1"/>
    </row>
    <row r="90" spans="1:9" ht="24.75" customHeight="1">
      <c r="B90" s="1135" t="s">
        <v>399</v>
      </c>
      <c r="C90" s="1135"/>
      <c r="D90" s="1135"/>
      <c r="E90" s="1135"/>
      <c r="F90" s="1135"/>
      <c r="G90" s="1135"/>
      <c r="H90" s="1135"/>
      <c r="I90" s="1"/>
    </row>
    <row r="91" spans="1:9" ht="18.75" customHeight="1">
      <c r="B91" s="1135" t="s">
        <v>400</v>
      </c>
      <c r="C91" s="1135"/>
      <c r="D91" s="1135"/>
      <c r="E91" s="1135"/>
      <c r="F91" s="1135"/>
      <c r="G91" s="1135"/>
      <c r="H91" s="1135"/>
      <c r="I91" s="1"/>
    </row>
    <row r="92" spans="1:9" ht="15.6">
      <c r="B92" s="724" t="s">
        <v>401</v>
      </c>
      <c r="C92" s="275"/>
      <c r="D92" s="275"/>
      <c r="E92" s="275"/>
      <c r="F92" s="275"/>
      <c r="G92" s="275"/>
      <c r="H92" s="275"/>
      <c r="I92" s="1"/>
    </row>
    <row r="93" spans="1:9">
      <c r="B93" s="1135" t="s">
        <v>402</v>
      </c>
      <c r="C93" s="1135"/>
      <c r="D93" s="1135"/>
      <c r="E93" s="1135"/>
      <c r="F93" s="1135"/>
      <c r="G93" s="1135"/>
      <c r="H93" s="1135"/>
      <c r="I93" s="1"/>
    </row>
    <row r="94" spans="1:9" ht="15.6">
      <c r="B94" s="275" t="s">
        <v>403</v>
      </c>
      <c r="C94" s="1"/>
      <c r="D94" s="1"/>
      <c r="E94" s="1"/>
      <c r="F94" s="1"/>
      <c r="G94" s="1"/>
      <c r="H94" s="1"/>
      <c r="I94" s="1"/>
    </row>
    <row r="95" spans="1:9" s="278" customFormat="1" ht="15.75" customHeight="1">
      <c r="A95" s="196"/>
      <c r="B95" s="1135" t="s">
        <v>404</v>
      </c>
      <c r="C95" s="1135"/>
      <c r="D95" s="1135"/>
      <c r="E95" s="1135"/>
      <c r="F95" s="1135"/>
      <c r="G95" s="1135"/>
      <c r="H95" s="1135"/>
      <c r="I95" s="1"/>
    </row>
    <row r="96" spans="1:9" s="278" customFormat="1" ht="23.25" customHeight="1">
      <c r="A96" s="196"/>
      <c r="B96" s="1135" t="s">
        <v>405</v>
      </c>
      <c r="C96" s="1135"/>
      <c r="D96" s="1135"/>
      <c r="E96" s="1135"/>
      <c r="F96" s="1135"/>
      <c r="G96" s="1135"/>
      <c r="H96" s="1135"/>
      <c r="I96" s="1"/>
    </row>
    <row r="97" spans="1:9" s="278" customFormat="1" ht="24.75" customHeight="1">
      <c r="A97" s="196"/>
      <c r="B97" s="1135" t="str">
        <f>"La densité thermique du réseau créé, ou de l’extension sera "&amp;IF(E12&lt;=6000,"supérieure ou égale à 1 MWh/an/mètre","au moins égale à 1,5 MWh / (an.mètre linéaire)")</f>
        <v>La densité thermique du réseau créé, ou de l’extension sera au moins égale à 1,5 MWh / (an.mètre linéaire)</v>
      </c>
      <c r="C97" s="1135"/>
      <c r="D97" s="1135"/>
      <c r="E97" s="1135"/>
      <c r="F97" s="1135"/>
      <c r="G97" s="1135"/>
      <c r="H97" s="1135"/>
      <c r="I97" s="1"/>
    </row>
    <row r="98" spans="1:9" s="278" customFormat="1" ht="21.75" customHeight="1">
      <c r="A98" s="196"/>
      <c r="B98" s="1135" t="str">
        <f>IF('Fiche projet biomasse'!G219="Création",_xlfn.CONCAT(_xlfn.CONCAT("Dans le cas d'une création le bénéficiaire s'engage sur une injection supplémentaire d'EnR&amp;R de minimum ",TEXT(E12,"### ### ###,00"))," MWh/an."),IF('Fiche projet biomasse'!G219="Extension",_xlfn.CONCAT(_xlfn.CONCAT("Dans le cas d'une extension le bénéficiaire s'engage sur une injection supplémentaire d'EnR&amp;R de minimum ",TEXT(E12,"### ### ###,00"))," MWh/an."),""))</f>
        <v/>
      </c>
      <c r="C98" s="1135"/>
      <c r="D98" s="1135"/>
      <c r="E98" s="1135"/>
      <c r="F98" s="1135"/>
      <c r="G98" s="1135"/>
      <c r="H98" s="1135"/>
      <c r="I98" s="1"/>
    </row>
    <row r="99" spans="1:9" s="278" customFormat="1" ht="17.25" customHeight="1">
      <c r="A99" s="196"/>
      <c r="B99" s="274" t="s">
        <v>406</v>
      </c>
      <c r="C99" s="274"/>
      <c r="D99" s="274"/>
      <c r="E99" s="196"/>
      <c r="F99" s="280"/>
      <c r="G99" s="196"/>
      <c r="H99" s="196"/>
      <c r="I99" s="1"/>
    </row>
    <row r="100" spans="1:9" s="278" customFormat="1" ht="21" customHeight="1">
      <c r="A100" s="196"/>
      <c r="B100" s="196"/>
      <c r="C100" s="274" t="s">
        <v>407</v>
      </c>
      <c r="D100" s="274"/>
      <c r="E100" s="196"/>
      <c r="F100" s="280"/>
      <c r="G100" s="196"/>
      <c r="H100" s="196"/>
      <c r="I100" s="1"/>
    </row>
    <row r="101" spans="1:9" s="278" customFormat="1" ht="27.75" customHeight="1">
      <c r="A101" s="196"/>
      <c r="B101" s="196"/>
      <c r="C101" s="1135" t="s">
        <v>408</v>
      </c>
      <c r="D101" s="1135"/>
      <c r="E101" s="1135"/>
      <c r="F101" s="1135"/>
      <c r="G101" s="1135"/>
      <c r="H101" s="1135"/>
      <c r="I101" s="1"/>
    </row>
    <row r="102" spans="1:9" s="278" customFormat="1" ht="21" customHeight="1">
      <c r="A102" s="196"/>
      <c r="B102" s="196"/>
      <c r="C102" s="274" t="s">
        <v>409</v>
      </c>
      <c r="D102" s="274"/>
      <c r="E102" s="196"/>
      <c r="F102" s="280"/>
      <c r="G102" s="196"/>
      <c r="H102" s="196"/>
      <c r="I102" s="1"/>
    </row>
    <row r="103" spans="1:9" s="278" customFormat="1" ht="21" customHeight="1">
      <c r="A103" s="196"/>
      <c r="B103" s="196"/>
      <c r="C103" s="274" t="s">
        <v>410</v>
      </c>
      <c r="D103" s="274"/>
      <c r="E103" s="196"/>
      <c r="F103" s="280"/>
      <c r="G103" s="196"/>
      <c r="H103" s="196"/>
      <c r="I103" s="1"/>
    </row>
    <row r="104" spans="1:9" s="278" customFormat="1" ht="21" customHeight="1">
      <c r="A104" s="196"/>
      <c r="B104" s="274" t="s">
        <v>823</v>
      </c>
      <c r="C104" s="274"/>
      <c r="D104" s="274"/>
      <c r="E104" s="196"/>
      <c r="F104" s="280"/>
      <c r="G104" s="196"/>
      <c r="H104" s="196"/>
      <c r="I104" s="1"/>
    </row>
    <row r="105" spans="1:9" ht="15.6">
      <c r="B105" s="275" t="s">
        <v>411</v>
      </c>
      <c r="C105" s="1"/>
      <c r="D105" s="1"/>
      <c r="E105" s="1"/>
      <c r="F105" s="1"/>
      <c r="G105" s="1"/>
      <c r="H105" s="1"/>
      <c r="I105" s="1"/>
    </row>
    <row r="106" spans="1:9" ht="42" customHeight="1">
      <c r="B106" s="1139" t="s">
        <v>412</v>
      </c>
      <c r="C106" s="1139"/>
      <c r="D106" s="1139"/>
      <c r="E106" s="1139"/>
      <c r="F106" s="1139"/>
      <c r="G106" s="1139"/>
      <c r="H106" s="1139"/>
      <c r="I106" s="1"/>
    </row>
    <row r="107" spans="1:9" ht="15.6">
      <c r="B107" s="275" t="str">
        <f>IF('Fiche projet biomasse'!G219='Menus biomasse'!AK15,"Obligation d’information sur le schéma directeur ","")</f>
        <v/>
      </c>
      <c r="C107" s="1"/>
      <c r="D107" s="1"/>
      <c r="E107" s="1"/>
      <c r="F107" s="1"/>
      <c r="G107" s="1"/>
      <c r="H107" s="1"/>
      <c r="I107" s="1"/>
    </row>
    <row r="108" spans="1:9">
      <c r="B108" s="1139" t="str">
        <f>IF('Fiche projet biomasse'!G219='Menus biomasse'!AK15,"Si le bénéficiaire est associé à une démarche de schéma directeur par l’autorité délégante, il s’engage à tenir informé l’ADEME de son avancement et des dates de commissions. ","")</f>
        <v/>
      </c>
      <c r="C108" s="1139"/>
      <c r="D108" s="1139"/>
      <c r="E108" s="1139"/>
      <c r="F108" s="1139"/>
      <c r="G108" s="1139"/>
      <c r="H108" s="1139"/>
      <c r="I108" s="1"/>
    </row>
    <row r="109" spans="1:9">
      <c r="I109" s="1"/>
    </row>
    <row r="110" spans="1:9">
      <c r="I110" s="1"/>
    </row>
    <row r="111" spans="1:9">
      <c r="I111" s="1"/>
    </row>
  </sheetData>
  <sheetProtection algorithmName="SHA-512" hashValue="AzYdVr0qzmIA6kwj5RgpUwAtEGG6zLkS8trzt2rlBlqbzen44XmYQbXY1KMYeJYxrxdyhsHMp/vQ+28CCaUu5w==" saltValue="Qu5DhSSHYJSMPxc4o1hIZQ==" spinCount="100000" sheet="1" objects="1" scenarios="1"/>
  <mergeCells count="72">
    <mergeCell ref="B31:G31"/>
    <mergeCell ref="B33:H33"/>
    <mergeCell ref="B40:H40"/>
    <mergeCell ref="C48:H48"/>
    <mergeCell ref="C32:H32"/>
    <mergeCell ref="J3:M7"/>
    <mergeCell ref="B5:G7"/>
    <mergeCell ref="C8:D8"/>
    <mergeCell ref="C9:D9"/>
    <mergeCell ref="B3:G4"/>
    <mergeCell ref="B59:H59"/>
    <mergeCell ref="B64:H64"/>
    <mergeCell ref="K19:L19"/>
    <mergeCell ref="B106:H106"/>
    <mergeCell ref="B95:H95"/>
    <mergeCell ref="B97:H97"/>
    <mergeCell ref="B96:H96"/>
    <mergeCell ref="B85:H85"/>
    <mergeCell ref="B24:H24"/>
    <mergeCell ref="B84:H84"/>
    <mergeCell ref="C66:H66"/>
    <mergeCell ref="C65:H65"/>
    <mergeCell ref="C67:H67"/>
    <mergeCell ref="C68:H68"/>
    <mergeCell ref="B60:H60"/>
    <mergeCell ref="B70:H70"/>
    <mergeCell ref="B71:H71"/>
    <mergeCell ref="B72:H72"/>
    <mergeCell ref="B74:H74"/>
    <mergeCell ref="B75:H75"/>
    <mergeCell ref="C79:H79"/>
    <mergeCell ref="C81:H81"/>
    <mergeCell ref="B77:H77"/>
    <mergeCell ref="B78:H78"/>
    <mergeCell ref="B80:H80"/>
    <mergeCell ref="B82:H82"/>
    <mergeCell ref="B98:H98"/>
    <mergeCell ref="C101:H101"/>
    <mergeCell ref="B88:H88"/>
    <mergeCell ref="B89:H89"/>
    <mergeCell ref="B90:H90"/>
    <mergeCell ref="B91:H91"/>
    <mergeCell ref="B108:H108"/>
    <mergeCell ref="B25:H25"/>
    <mergeCell ref="B26:H26"/>
    <mergeCell ref="C27:H27"/>
    <mergeCell ref="C28:H28"/>
    <mergeCell ref="C30:H30"/>
    <mergeCell ref="C29:H29"/>
    <mergeCell ref="B34:H34"/>
    <mergeCell ref="C35:H35"/>
    <mergeCell ref="C36:H36"/>
    <mergeCell ref="C37:H37"/>
    <mergeCell ref="C38:H38"/>
    <mergeCell ref="B39:H39"/>
    <mergeCell ref="B41:H41"/>
    <mergeCell ref="B93:H93"/>
    <mergeCell ref="C50:H50"/>
    <mergeCell ref="C49:H49"/>
    <mergeCell ref="C47:H47"/>
    <mergeCell ref="B51:H51"/>
    <mergeCell ref="C42:H42"/>
    <mergeCell ref="D43:H43"/>
    <mergeCell ref="D44:H44"/>
    <mergeCell ref="D45:H45"/>
    <mergeCell ref="D46:H46"/>
    <mergeCell ref="B57:H57"/>
    <mergeCell ref="C52:H52"/>
    <mergeCell ref="C53:H53"/>
    <mergeCell ref="C54:H54"/>
    <mergeCell ref="C55:H55"/>
    <mergeCell ref="C56:H56"/>
  </mergeCells>
  <conditionalFormatting sqref="B78:H79">
    <cfRule type="expression" dxfId="73" priority="763">
      <formula>$E$10&lt;=500</formula>
    </cfRule>
  </conditionalFormatting>
  <conditionalFormatting sqref="B80:H81">
    <cfRule type="expression" dxfId="72" priority="764">
      <formula>$E$10&gt;500</formula>
    </cfRule>
  </conditionalFormatting>
  <conditionalFormatting sqref="B99:H103">
    <cfRule type="expression" dxfId="71" priority="9">
      <formula>$E$12&lt;1200</formula>
    </cfRule>
  </conditionalFormatting>
  <conditionalFormatting sqref="D17:D20 G17:G20 D23">
    <cfRule type="cellIs" dxfId="70" priority="27" operator="equal">
      <formula>"A revoir"</formula>
    </cfRule>
    <cfRule type="cellIs" dxfId="69" priority="28" operator="equal">
      <formula>"non éligible"</formula>
    </cfRule>
  </conditionalFormatting>
  <conditionalFormatting sqref="G17:G20 D17:D20 D23">
    <cfRule type="cellIs" dxfId="68" priority="29" operator="equal">
      <formula>"ok"</formula>
    </cfRule>
  </conditionalFormatting>
  <conditionalFormatting sqref="G19">
    <cfRule type="expression" dxfId="67" priority="15">
      <formula>$G$19="Vérifier les critères d'éligibilités"</formula>
    </cfRule>
  </conditionalFormatting>
  <hyperlinks>
    <hyperlink ref="B75" r:id="rId1"/>
    <hyperlink ref="C42:H42" r:id="rId2" display="Le “Rapport final installation biomasse énergie”, sur la base du modèle Excel ADEME, il comprend :"/>
  </hyperlinks>
  <pageMargins left="0.7" right="0.7" top="0.75" bottom="0.75" header="0.3" footer="0.3"/>
  <pageSetup paperSize="9" scale="54" fitToWidth="0" orientation="portrait" r:id="rId3"/>
  <colBreaks count="1" manualBreakCount="1">
    <brk id="8" max="107" man="1"/>
  </col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0" id="{D84461ED-224D-4470-8D53-A9114312397B}">
            <xm:f>'Fiche projet biomasse'!#REF!="Pas de réseau de chaleur"</xm:f>
            <x14:dxf>
              <font>
                <color theme="0"/>
              </font>
            </x14:dxf>
          </x14:cfRule>
          <xm:sqref>B107:B108</xm:sqref>
        </x14:conditionalFormatting>
        <x14:conditionalFormatting xmlns:xm="http://schemas.microsoft.com/office/excel/2006/main">
          <x14:cfRule type="expression" priority="7" id="{3652C09C-2B41-4867-9EF3-72CB37836FDC}">
            <xm:f>'Fiche projet biomasse'!$G$219="Pas de réseau de chaleur"</xm:f>
            <x14:dxf>
              <font>
                <color theme="0"/>
              </font>
            </x14:dxf>
          </x14:cfRule>
          <xm:sqref>B51:H56</xm:sqref>
        </x14:conditionalFormatting>
        <x14:conditionalFormatting xmlns:xm="http://schemas.microsoft.com/office/excel/2006/main">
          <x14:cfRule type="expression" priority="12" id="{16528AA3-3B40-4085-A4F1-6F40C4BF1201}">
            <xm:f>'Fiche projet biomasse'!$H$275&lt;&gt;"Oui"</xm:f>
            <x14:dxf>
              <font>
                <color theme="0"/>
              </font>
            </x14:dxf>
          </x14:cfRule>
          <xm:sqref>B82:H82</xm:sqref>
        </x14:conditionalFormatting>
        <x14:conditionalFormatting xmlns:xm="http://schemas.microsoft.com/office/excel/2006/main">
          <x14:cfRule type="expression" priority="1" id="{594404BD-547C-41B2-A8D8-4F4D072E21D8}">
            <xm:f>'Fiche projet biomasse'!$G$219="Pas de réseau de chaleur"</xm:f>
            <x14:dxf>
              <font>
                <color theme="0"/>
              </font>
            </x14:dxf>
          </x14:cfRule>
          <xm:sqref>B86:H93</xm:sqref>
        </x14:conditionalFormatting>
        <x14:conditionalFormatting xmlns:xm="http://schemas.microsoft.com/office/excel/2006/main">
          <x14:cfRule type="expression" priority="687" id="{54F559FB-044D-4A27-B12B-4D3C30E706E3}">
            <xm:f>'Fiche projet biomasse'!#REF!="Pas de réseau de chaleur"</xm:f>
            <x14:dxf>
              <font>
                <color theme="0"/>
              </font>
            </x14:dxf>
          </x14:cfRule>
          <xm:sqref>B94:H94 B99:H99 C100:H100 C102:H103 B104:H106</xm:sqref>
        </x14:conditionalFormatting>
        <x14:conditionalFormatting xmlns:xm="http://schemas.microsoft.com/office/excel/2006/main">
          <x14:cfRule type="expression" priority="8" id="{FC1AD758-F5CD-4AD8-927A-F56608FA7973}">
            <xm:f>'Fiche projet biomasse'!$G$219:$I$219="pas de réseau de chaleur"</xm:f>
            <x14:dxf>
              <font>
                <color theme="0"/>
              </font>
            </x14:dxf>
          </x14:cfRule>
          <xm:sqref>B94:H106</xm:sqref>
        </x14:conditionalFormatting>
        <x14:conditionalFormatting xmlns:xm="http://schemas.microsoft.com/office/excel/2006/main">
          <x14:cfRule type="expression" priority="11" id="{79DEE1C0-A982-4355-B93D-36F02CB6EC1B}">
            <xm:f>'Fiche projet biomasse'!$G$219:$I$219&lt;&gt;"création"</xm:f>
            <x14:dxf>
              <font>
                <color theme="0"/>
              </font>
            </x14:dxf>
          </x14:cfRule>
          <xm:sqref>B95:H95</xm:sqref>
        </x14:conditionalFormatting>
        <x14:conditionalFormatting xmlns:xm="http://schemas.microsoft.com/office/excel/2006/main">
          <x14:cfRule type="expression" priority="10" id="{8DD7734A-1EC0-4A36-A31A-087AA27D6826}">
            <xm:f>'Fiche projet biomasse'!$G$219:$I$219&lt;&gt;"Extension"</xm:f>
            <x14:dxf>
              <font>
                <color theme="0"/>
              </font>
            </x14:dxf>
          </x14:cfRule>
          <xm:sqref>B96:H96</xm:sqref>
        </x14:conditionalFormatting>
        <x14:conditionalFormatting xmlns:xm="http://schemas.microsoft.com/office/excel/2006/main">
          <x14:cfRule type="expression" priority="17" id="{8EA2B8C8-CB83-4373-A875-38EDE86E59AA}">
            <xm:f>'Fiche projet biomasse'!#REF!="Pas de réseau de chaleur"</xm:f>
            <x14:dxf>
              <font>
                <color theme="0"/>
              </font>
            </x14:dxf>
          </x14:cfRule>
          <xm:sqref>B108:H108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E236"/>
  <sheetViews>
    <sheetView zoomScale="70" zoomScaleNormal="70" workbookViewId="0">
      <selection activeCell="D32" sqref="D32"/>
    </sheetView>
  </sheetViews>
  <sheetFormatPr defaultColWidth="11.44140625" defaultRowHeight="14.4"/>
  <cols>
    <col min="2" max="2" width="42.77734375" customWidth="1"/>
    <col min="3" max="3" width="29" customWidth="1"/>
    <col min="4" max="4" width="26" customWidth="1"/>
    <col min="5" max="5" width="34.44140625" customWidth="1"/>
    <col min="6" max="6" width="20.77734375" customWidth="1"/>
    <col min="7" max="7" width="16.5546875" customWidth="1"/>
    <col min="8" max="8" width="32.5546875" customWidth="1"/>
    <col min="11" max="57" width="11.44140625" style="1"/>
  </cols>
  <sheetData>
    <row r="1" spans="1:11">
      <c r="A1" s="1"/>
      <c r="B1" s="1"/>
      <c r="C1" s="1"/>
      <c r="D1" s="1"/>
      <c r="E1" s="1"/>
      <c r="F1" s="1"/>
      <c r="G1" s="1"/>
      <c r="H1" s="1"/>
      <c r="I1" s="1"/>
      <c r="J1" s="1"/>
    </row>
    <row r="2" spans="1:11">
      <c r="A2" s="1"/>
      <c r="B2" s="1" t="s">
        <v>413</v>
      </c>
      <c r="C2" s="1"/>
      <c r="D2" s="1"/>
      <c r="E2" s="1"/>
      <c r="F2" s="1"/>
      <c r="G2" s="1"/>
      <c r="H2" s="1"/>
      <c r="I2" s="1"/>
      <c r="J2" s="1"/>
    </row>
    <row r="3" spans="1:11">
      <c r="A3" s="1"/>
      <c r="B3" s="1"/>
      <c r="C3" s="1"/>
      <c r="D3" s="1"/>
      <c r="E3" s="1"/>
      <c r="F3" s="1"/>
      <c r="G3" s="1"/>
      <c r="H3" s="1"/>
      <c r="I3" s="1"/>
      <c r="J3" s="1"/>
    </row>
    <row r="4" spans="1:11">
      <c r="A4" s="1"/>
      <c r="B4" s="122" t="s">
        <v>414</v>
      </c>
      <c r="C4" s="1"/>
      <c r="D4" s="1"/>
      <c r="E4" s="1"/>
      <c r="F4" s="1"/>
      <c r="G4" s="1"/>
      <c r="H4" s="1"/>
      <c r="I4" s="1"/>
      <c r="J4" s="1"/>
    </row>
    <row r="5" spans="1:11">
      <c r="A5" s="1"/>
      <c r="B5" s="1"/>
      <c r="C5" s="1"/>
      <c r="D5" s="1"/>
      <c r="E5" s="1"/>
      <c r="F5" s="1"/>
      <c r="G5" s="1"/>
      <c r="H5" s="85" t="s">
        <v>415</v>
      </c>
      <c r="I5" s="1"/>
      <c r="J5" s="1"/>
    </row>
    <row r="6" spans="1:11" ht="46.5" customHeight="1">
      <c r="A6" s="1"/>
      <c r="B6" s="12" t="s">
        <v>416</v>
      </c>
      <c r="C6" s="12" t="s">
        <v>417</v>
      </c>
      <c r="D6" s="12" t="s">
        <v>418</v>
      </c>
      <c r="E6" s="1160" t="s">
        <v>419</v>
      </c>
      <c r="F6" s="1160"/>
      <c r="G6" s="1"/>
      <c r="H6" s="1"/>
      <c r="I6" s="1"/>
      <c r="J6" s="1"/>
    </row>
    <row r="7" spans="1:11">
      <c r="A7" s="1"/>
      <c r="B7" s="83">
        <f>'Fiche projet biomasse'!G30</f>
        <v>0</v>
      </c>
      <c r="C7" s="84">
        <f>Prod_biomasse</f>
        <v>0</v>
      </c>
      <c r="D7" s="84">
        <f>Puiss_biomasse</f>
        <v>0</v>
      </c>
      <c r="E7" s="1161" t="e">
        <f>C7/(D7/1000)</f>
        <v>#DIV/0!</v>
      </c>
      <c r="F7" s="1161"/>
      <c r="G7" s="1"/>
      <c r="H7" s="1"/>
      <c r="I7" s="1"/>
      <c r="J7" s="1"/>
    </row>
    <row r="8" spans="1:11">
      <c r="A8" s="1"/>
      <c r="B8" s="1"/>
      <c r="C8" s="1"/>
      <c r="D8" s="1"/>
      <c r="E8" s="1"/>
      <c r="F8" s="1"/>
      <c r="G8" s="1"/>
      <c r="H8" s="1"/>
      <c r="I8" s="1"/>
      <c r="J8" s="1"/>
    </row>
    <row r="9" spans="1:11">
      <c r="A9" s="1"/>
      <c r="B9" s="123" t="s">
        <v>420</v>
      </c>
      <c r="C9" s="1"/>
      <c r="D9" s="1"/>
      <c r="E9" s="1"/>
      <c r="F9" s="1"/>
      <c r="G9" s="1"/>
      <c r="H9" s="1"/>
      <c r="I9" s="1"/>
      <c r="J9" s="1"/>
    </row>
    <row r="10" spans="1:11" ht="28.8">
      <c r="A10" s="1"/>
      <c r="B10" s="11" t="s">
        <v>421</v>
      </c>
      <c r="C10" s="12" t="s">
        <v>422</v>
      </c>
      <c r="D10" s="11" t="s">
        <v>423</v>
      </c>
      <c r="E10" s="11" t="s">
        <v>424</v>
      </c>
      <c r="F10" s="11" t="s">
        <v>425</v>
      </c>
      <c r="G10" s="1"/>
      <c r="H10" s="1"/>
      <c r="I10" s="1"/>
      <c r="J10" s="1"/>
    </row>
    <row r="11" spans="1:11">
      <c r="A11" s="1"/>
      <c r="B11" s="124" t="s">
        <v>426</v>
      </c>
      <c r="C11" s="14">
        <v>22.7</v>
      </c>
      <c r="D11" s="15">
        <v>0.15</v>
      </c>
      <c r="E11" s="15">
        <v>0.48</v>
      </c>
      <c r="F11" s="15">
        <v>0.37</v>
      </c>
      <c r="G11" s="1" t="s">
        <v>427</v>
      </c>
      <c r="H11" s="1"/>
      <c r="I11" s="1"/>
      <c r="J11" s="1"/>
    </row>
    <row r="12" spans="1:11">
      <c r="A12" s="1"/>
      <c r="B12" s="124" t="s">
        <v>428</v>
      </c>
      <c r="C12" s="14">
        <v>35</v>
      </c>
      <c r="D12" s="15">
        <f>5/(5+20+10)</f>
        <v>0.14285714285714285</v>
      </c>
      <c r="E12" s="15">
        <f>20/(5+20+10)</f>
        <v>0.5714285714285714</v>
      </c>
      <c r="F12" s="15">
        <f>10/(5+20+10)</f>
        <v>0.2857142857142857</v>
      </c>
      <c r="G12" s="1"/>
      <c r="H12" s="1"/>
      <c r="I12" s="1"/>
      <c r="J12" s="1"/>
      <c r="K12"/>
    </row>
    <row r="13" spans="1:11">
      <c r="A13" s="1"/>
      <c r="B13" s="124" t="s">
        <v>429</v>
      </c>
      <c r="C13" s="14">
        <v>12</v>
      </c>
      <c r="D13" s="15">
        <v>0.17</v>
      </c>
      <c r="E13" s="15">
        <v>0.71</v>
      </c>
      <c r="F13" s="15">
        <v>0.11</v>
      </c>
      <c r="G13" s="1"/>
      <c r="H13" s="1"/>
      <c r="I13" s="1"/>
      <c r="J13" s="1"/>
    </row>
    <row r="14" spans="1:11">
      <c r="A14" s="1"/>
      <c r="B14" s="1"/>
      <c r="C14" s="1"/>
      <c r="D14" s="1"/>
      <c r="E14" s="1"/>
      <c r="F14" s="1"/>
      <c r="G14" s="1"/>
      <c r="H14" s="1"/>
      <c r="I14" s="1"/>
      <c r="J14" s="1"/>
    </row>
    <row r="15" spans="1:11" ht="28.8">
      <c r="A15" s="1"/>
      <c r="B15" s="13"/>
      <c r="C15" s="12" t="s">
        <v>430</v>
      </c>
      <c r="D15" s="11" t="s">
        <v>431</v>
      </c>
      <c r="E15" s="11" t="s">
        <v>432</v>
      </c>
      <c r="F15" s="11" t="s">
        <v>433</v>
      </c>
      <c r="G15" s="1"/>
      <c r="H15" s="1"/>
      <c r="I15" s="1"/>
      <c r="J15" s="1"/>
    </row>
    <row r="16" spans="1:11">
      <c r="A16" s="1"/>
      <c r="B16" s="81" t="s">
        <v>434</v>
      </c>
      <c r="C16" s="82" t="str">
        <f>IF('Fiche projet biomasse'!G219&lt;&gt;"Pas de réseau de chaleur",'Aide ratios'!C7*'Aide ratios'!C11,IF(B7=B_entreprise,C13*C7,IF(B7=B_collectif,C12*C7,"")))</f>
        <v/>
      </c>
      <c r="D16" s="82" t="str">
        <f>IF('Fiche projet biomasse'!$G$219&lt;&gt;"Pas de réseau de chaleur",$C$16*D11,IF($B$7=B_entreprise,$C$16*D13,IF(B7=B_collectif,$C$16*D12,"")))</f>
        <v/>
      </c>
      <c r="E16" s="82" t="str">
        <f>IF('Fiche projet biomasse'!$G$219&lt;&gt;"Pas de réseau de chaleur",$C$16*E11,IF($B$7=B_entreprise,$C$16*E13,IF(C7=B_collectif,$C$16*E12,"")))</f>
        <v/>
      </c>
      <c r="F16" s="82" t="str">
        <f>IF('Fiche projet biomasse'!$G$219&lt;&gt;"Pas de réseau de chaleur",$C$16*F11,IF($B$7=B_entreprise,$C$16*F13,IF(D7=B_collectif,$C$16*F12,"")))</f>
        <v/>
      </c>
      <c r="G16" s="1"/>
      <c r="H16" s="1"/>
      <c r="I16" s="1"/>
      <c r="J16" s="1"/>
    </row>
    <row r="17" spans="1:10">
      <c r="A17" s="1"/>
      <c r="B17" s="1"/>
      <c r="C17" s="363"/>
      <c r="D17" s="1"/>
      <c r="E17" s="1"/>
      <c r="F17" s="1"/>
      <c r="G17" s="1"/>
      <c r="H17" s="1"/>
      <c r="I17" s="1"/>
      <c r="J17" s="1"/>
    </row>
    <row r="18" spans="1:10">
      <c r="A18" s="1"/>
      <c r="B18" s="1"/>
      <c r="C18" s="1"/>
      <c r="D18" s="1"/>
      <c r="E18" s="1"/>
      <c r="F18" s="1"/>
      <c r="G18" s="1"/>
      <c r="H18" s="1"/>
      <c r="I18" s="1"/>
      <c r="J18" s="1"/>
    </row>
    <row r="19" spans="1:10">
      <c r="A19" s="1"/>
      <c r="B19" s="122" t="s">
        <v>435</v>
      </c>
      <c r="C19" s="1"/>
      <c r="D19" s="1"/>
      <c r="E19" s="1"/>
      <c r="F19" s="1"/>
      <c r="G19" s="1"/>
      <c r="H19" s="1"/>
      <c r="I19" s="1"/>
      <c r="J19" s="1"/>
    </row>
    <row r="20" spans="1:10">
      <c r="A20" s="1"/>
      <c r="B20" s="1"/>
      <c r="C20" s="1"/>
      <c r="D20" s="1"/>
      <c r="E20" s="1"/>
      <c r="F20" s="1"/>
      <c r="G20" s="1"/>
      <c r="H20" s="1"/>
      <c r="I20" s="1"/>
      <c r="J20" s="1"/>
    </row>
    <row r="21" spans="1:10">
      <c r="A21" s="1"/>
      <c r="B21" s="362" t="s">
        <v>436</v>
      </c>
      <c r="C21" s="1"/>
      <c r="D21" s="1"/>
      <c r="E21" s="1"/>
      <c r="F21" s="1"/>
      <c r="G21" s="1"/>
      <c r="H21" s="1"/>
      <c r="I21" s="1"/>
      <c r="J21" s="1"/>
    </row>
    <row r="22" spans="1:10">
      <c r="A22" s="1"/>
      <c r="B22" s="87" t="s">
        <v>437</v>
      </c>
      <c r="C22" s="87" t="s">
        <v>438</v>
      </c>
      <c r="D22" s="89" t="s">
        <v>439</v>
      </c>
      <c r="E22" s="90" t="s">
        <v>440</v>
      </c>
      <c r="F22" s="1"/>
      <c r="G22" s="1"/>
      <c r="H22" s="1"/>
      <c r="I22" s="1"/>
      <c r="J22" s="1"/>
    </row>
    <row r="23" spans="1:10">
      <c r="A23" s="1"/>
      <c r="B23" s="91" t="s">
        <v>441</v>
      </c>
      <c r="C23" s="88" t="e">
        <f>'Fiche projet biomasse'!E199</f>
        <v>#DIV/0!</v>
      </c>
      <c r="D23">
        <f>30*1.1</f>
        <v>33</v>
      </c>
      <c r="E23" s="92" t="e">
        <f>C23*D23</f>
        <v>#DIV/0!</v>
      </c>
      <c r="F23" s="1"/>
      <c r="G23" s="1"/>
      <c r="H23" s="1"/>
      <c r="I23" s="1"/>
      <c r="J23" s="1"/>
    </row>
    <row r="24" spans="1:10">
      <c r="A24" s="1"/>
      <c r="B24" s="91" t="s">
        <v>216</v>
      </c>
      <c r="C24" s="88" t="e">
        <f>'Fiche projet biomasse'!E202</f>
        <v>#DIV/0!</v>
      </c>
      <c r="D24">
        <f>AVERAGE(19,33)*1.1</f>
        <v>28.6</v>
      </c>
      <c r="E24" s="92" t="e">
        <f>C24*D24</f>
        <v>#DIV/0!</v>
      </c>
      <c r="F24" s="1"/>
      <c r="G24" s="1"/>
      <c r="H24" s="1"/>
      <c r="I24" s="1"/>
      <c r="J24" s="1"/>
    </row>
    <row r="25" spans="1:10">
      <c r="A25" s="1"/>
      <c r="B25" s="91" t="s">
        <v>218</v>
      </c>
      <c r="C25" s="88" t="e">
        <f>'Fiche projet biomasse'!E203</f>
        <v>#DIV/0!</v>
      </c>
      <c r="D25">
        <f>25*1.1</f>
        <v>27.500000000000004</v>
      </c>
      <c r="E25" s="92" t="e">
        <f>C25*D25</f>
        <v>#DIV/0!</v>
      </c>
      <c r="F25" s="1"/>
      <c r="G25" s="1"/>
      <c r="H25" s="1"/>
      <c r="I25" s="1"/>
      <c r="J25" s="1"/>
    </row>
    <row r="26" spans="1:10">
      <c r="A26" s="1"/>
      <c r="B26" s="91" t="s">
        <v>219</v>
      </c>
      <c r="C26" s="88" t="e">
        <f>'Fiche projet biomasse'!E204</f>
        <v>#DIV/0!</v>
      </c>
      <c r="D26">
        <f>78*1.1</f>
        <v>85.800000000000011</v>
      </c>
      <c r="E26" s="92" t="e">
        <f>C26*D26</f>
        <v>#DIV/0!</v>
      </c>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22" t="s">
        <v>442</v>
      </c>
      <c r="C29" s="1"/>
      <c r="D29" s="1"/>
      <c r="E29" s="1"/>
      <c r="F29" s="1"/>
      <c r="G29" s="1"/>
      <c r="H29" s="1"/>
      <c r="I29" s="1"/>
      <c r="J29" s="1"/>
    </row>
    <row r="30" spans="1:10">
      <c r="A30" s="1"/>
      <c r="B30" s="1"/>
      <c r="C30" s="1"/>
      <c r="D30" s="1"/>
      <c r="E30" s="1"/>
      <c r="G30" s="1"/>
      <c r="H30" s="1"/>
      <c r="I30" s="1"/>
      <c r="J30" s="1"/>
    </row>
    <row r="31" spans="1:10">
      <c r="A31" s="1"/>
      <c r="B31" s="123" t="s">
        <v>443</v>
      </c>
      <c r="C31" s="1"/>
      <c r="D31" s="1"/>
      <c r="E31" s="1"/>
      <c r="F31" s="1"/>
      <c r="H31" s="1"/>
      <c r="I31" s="1"/>
      <c r="J31" s="1"/>
    </row>
    <row r="32" spans="1:10" ht="85.5" customHeight="1">
      <c r="A32" s="1"/>
      <c r="B32" s="11"/>
      <c r="C32" s="12" t="s">
        <v>444</v>
      </c>
      <c r="D32" s="12" t="s">
        <v>445</v>
      </c>
      <c r="E32" s="12" t="s">
        <v>446</v>
      </c>
      <c r="F32" s="12" t="s">
        <v>447</v>
      </c>
      <c r="G32" s="12" t="s">
        <v>448</v>
      </c>
      <c r="H32" s="1"/>
      <c r="I32" s="1"/>
      <c r="J32" s="1"/>
    </row>
    <row r="33" spans="1:10" hidden="1">
      <c r="A33" s="1"/>
      <c r="B33" s="125"/>
      <c r="C33" s="126"/>
      <c r="D33" s="127" t="s">
        <v>171</v>
      </c>
      <c r="E33" s="127" t="s">
        <v>169</v>
      </c>
      <c r="F33" s="127" t="s">
        <v>449</v>
      </c>
      <c r="G33" s="127" t="s">
        <v>450</v>
      </c>
      <c r="H33" s="1"/>
      <c r="I33" s="1"/>
      <c r="J33" s="1"/>
    </row>
    <row r="34" spans="1:10" hidden="1">
      <c r="A34" s="1"/>
      <c r="B34" s="125"/>
      <c r="C34" s="126"/>
      <c r="D34" s="127" t="s">
        <v>177</v>
      </c>
      <c r="E34" s="126"/>
      <c r="F34" s="127" t="s">
        <v>180</v>
      </c>
      <c r="G34" s="126"/>
      <c r="H34" s="1"/>
      <c r="I34" s="1"/>
      <c r="J34" s="1"/>
    </row>
    <row r="35" spans="1:10" ht="26.4">
      <c r="A35" s="1"/>
      <c r="B35" s="93" t="s">
        <v>451</v>
      </c>
      <c r="C35" s="94" t="s">
        <v>452</v>
      </c>
      <c r="D35" s="95" t="s">
        <v>453</v>
      </c>
      <c r="E35" s="95" t="s">
        <v>454</v>
      </c>
      <c r="F35" s="96" t="s">
        <v>455</v>
      </c>
      <c r="G35" s="97"/>
      <c r="H35" s="1"/>
      <c r="I35" s="1"/>
      <c r="J35" s="1"/>
    </row>
    <row r="36" spans="1:10">
      <c r="A36" s="1"/>
      <c r="B36" s="93" t="s">
        <v>456</v>
      </c>
      <c r="C36" s="143" t="e">
        <f>-188.4*LN(D7)+2288.4</f>
        <v>#NUM!</v>
      </c>
      <c r="D36" s="98" t="e">
        <f>-39.74*LN(D7)+612.1</f>
        <v>#NUM!</v>
      </c>
      <c r="E36" s="98" t="e">
        <f>-87.56*LN(D7)+1002.3</f>
        <v>#NUM!</v>
      </c>
      <c r="F36" s="98" t="e">
        <f>-25.74*LN(D7)+311.53</f>
        <v>#NUM!</v>
      </c>
      <c r="G36" s="99"/>
      <c r="H36" s="1"/>
      <c r="I36" s="1"/>
      <c r="J36" s="1"/>
    </row>
    <row r="37" spans="1:10">
      <c r="A37" s="1"/>
      <c r="B37" s="100" t="s">
        <v>457</v>
      </c>
      <c r="C37" s="101" t="e">
        <f>C36*D7</f>
        <v>#NUM!</v>
      </c>
      <c r="D37" s="101" t="e">
        <f>D36*D7</f>
        <v>#NUM!</v>
      </c>
      <c r="E37" s="101" t="e">
        <f>E36*D7</f>
        <v>#NUM!</v>
      </c>
      <c r="F37" s="101" t="e">
        <f>F36*D7</f>
        <v>#NUM!</v>
      </c>
      <c r="G37" s="101" t="e">
        <f>C37-SUM(D37:F37)</f>
        <v>#NUM!</v>
      </c>
      <c r="H37" s="1"/>
      <c r="I37" s="1"/>
      <c r="J37" s="1"/>
    </row>
    <row r="38" spans="1:10">
      <c r="A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ht="75" customHeight="1">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s="1" customFormat="1"/>
    <row r="64" spans="1:10"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pans="1:9" s="1" customFormat="1"/>
    <row r="82" spans="1:9" s="1" customFormat="1"/>
    <row r="83" spans="1:9" s="1" customFormat="1"/>
    <row r="84" spans="1:9" s="1" customFormat="1"/>
    <row r="85" spans="1:9" s="1" customFormat="1"/>
    <row r="86" spans="1:9" s="1" customFormat="1"/>
    <row r="87" spans="1:9" s="1" customFormat="1"/>
    <row r="88" spans="1:9" s="1" customFormat="1">
      <c r="H88"/>
      <c r="I88"/>
    </row>
    <row r="89" spans="1:9" s="1" customFormat="1">
      <c r="H89"/>
      <c r="I89"/>
    </row>
    <row r="90" spans="1:9">
      <c r="A90" s="1"/>
    </row>
    <row r="91" spans="1:9">
      <c r="A91" s="1"/>
    </row>
    <row r="92" spans="1:9">
      <c r="A92" s="1"/>
    </row>
    <row r="93" spans="1:9">
      <c r="A93" s="1"/>
    </row>
    <row r="94" spans="1:9">
      <c r="A94" s="1"/>
    </row>
    <row r="95" spans="1:9">
      <c r="A95" s="1"/>
    </row>
    <row r="96" spans="1:9">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sheetData>
  <sheetProtection algorithmName="SHA-512" hashValue="SYt9lYcUBdc3iJily6NmBlD84BXo//7iLCPzOpV5Zzn4T+qB/fDcMwVG+bH/L56K+m77BZGYX2omTl3cH1aykw==" saltValue="cgCo2Rzz4h2Igi5ic3wbbg==" spinCount="100000" sheet="1" objects="1" scenarios="1"/>
  <mergeCells count="2">
    <mergeCell ref="E6:F6"/>
    <mergeCell ref="E7:F7"/>
  </mergeCells>
  <hyperlinks>
    <hyperlink ref="B21" r:id="rId1"/>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'Menus biomasse'!$Y$7:$Y$8</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opLeftCell="A15" zoomScaleNormal="100" workbookViewId="0">
      <selection activeCell="G40" sqref="G40"/>
    </sheetView>
  </sheetViews>
  <sheetFormatPr defaultColWidth="11.44140625" defaultRowHeight="14.4"/>
  <cols>
    <col min="1" max="1" width="3.44140625" style="1" customWidth="1"/>
    <col min="2" max="2" width="22.77734375" customWidth="1"/>
    <col min="4" max="4" width="12.77734375" bestFit="1" customWidth="1"/>
    <col min="5" max="5" width="17.77734375" customWidth="1"/>
    <col min="6" max="6" width="24.44140625" style="1" customWidth="1"/>
    <col min="7" max="7" width="33.21875" customWidth="1"/>
    <col min="8" max="8" width="21.21875" customWidth="1"/>
    <col min="10" max="10" width="41.5546875" customWidth="1"/>
    <col min="11" max="19" width="11.44140625" style="1"/>
  </cols>
  <sheetData>
    <row r="1" spans="2:19" s="1" customFormat="1" ht="15" customHeight="1">
      <c r="B1" s="108" t="s">
        <v>458</v>
      </c>
      <c r="C1" s="108"/>
      <c r="D1" s="108"/>
      <c r="E1" s="108"/>
    </row>
    <row r="2" spans="2:19" s="1" customFormat="1" ht="15" customHeight="1">
      <c r="B2" s="108"/>
      <c r="C2" s="108"/>
      <c r="D2" s="108"/>
      <c r="E2" s="108"/>
    </row>
    <row r="3" spans="2:19" s="1" customFormat="1" ht="18.75" customHeight="1">
      <c r="B3" s="108" t="s">
        <v>415</v>
      </c>
      <c r="C3" s="120"/>
      <c r="D3" s="108"/>
      <c r="E3" s="108"/>
    </row>
    <row r="4" spans="2:19" s="1" customFormat="1" ht="15" thickBot="1">
      <c r="B4" s="1" t="s">
        <v>459</v>
      </c>
    </row>
    <row r="5" spans="2:19" s="1" customFormat="1" ht="15.6">
      <c r="B5" s="109" t="s">
        <v>460</v>
      </c>
      <c r="C5" s="110"/>
      <c r="D5" s="110"/>
      <c r="E5" s="111"/>
    </row>
    <row r="6" spans="2:19" ht="15.6">
      <c r="B6" s="112" t="s">
        <v>461</v>
      </c>
      <c r="C6" s="104" t="s">
        <v>462</v>
      </c>
      <c r="D6" s="1"/>
      <c r="E6" s="113"/>
      <c r="G6" s="1166" t="s">
        <v>463</v>
      </c>
      <c r="H6" s="1166"/>
      <c r="I6" s="1166"/>
      <c r="J6" s="1166"/>
    </row>
    <row r="7" spans="2:19" ht="31.2">
      <c r="B7" s="121" t="str">
        <f>IF(categorie="Entreprise ou industrie", "Industrie", IF(categorie="Collectif ou tertiaire","Collectif",""))</f>
        <v/>
      </c>
      <c r="C7" s="120">
        <f>Prod_biomasse</f>
        <v>0</v>
      </c>
      <c r="D7" s="104" t="s">
        <v>464</v>
      </c>
      <c r="E7" s="114" t="s">
        <v>465</v>
      </c>
      <c r="G7" s="107" t="s">
        <v>466</v>
      </c>
      <c r="H7" s="106">
        <v>45292</v>
      </c>
      <c r="I7" s="1165"/>
      <c r="J7" s="1165"/>
    </row>
    <row r="8" spans="2:19" ht="16.5" customHeight="1">
      <c r="B8" s="115">
        <f>IF($B$7="Collectif",I9,IF($B$7="Industrie",J9,0))</f>
        <v>0</v>
      </c>
      <c r="C8" s="102">
        <f>IF(C7&gt;12000,"Fonds chaleur",IF(C7&lt;600,C7,600))</f>
        <v>0</v>
      </c>
      <c r="D8" s="102">
        <f>IF(C8&gt;0,B8,0)</f>
        <v>0</v>
      </c>
      <c r="E8" s="1162">
        <f>(C8*D8*20+C9*D9*20+C10*D10*20+C11*D11*20)</f>
        <v>0</v>
      </c>
      <c r="G8" s="1167" t="s">
        <v>467</v>
      </c>
      <c r="H8" s="105" t="s">
        <v>462</v>
      </c>
      <c r="I8" s="105" t="s">
        <v>468</v>
      </c>
      <c r="J8" s="105" t="s">
        <v>469</v>
      </c>
    </row>
    <row r="9" spans="2:19">
      <c r="B9" s="115">
        <f>IF($B$7="Collectif",I10,IF($B$7="Industrie",J10,0))</f>
        <v>0</v>
      </c>
      <c r="C9" s="102">
        <f>IF(C7&gt;12000,"Fonds chaleur",IF($C$7&gt;600,IF(AND($C$7&lt;3000,$C$7&gt;600),$C$7-600,2400),0))</f>
        <v>0</v>
      </c>
      <c r="D9" s="102">
        <f>IF(C9&gt;0,B9,0)</f>
        <v>0</v>
      </c>
      <c r="E9" s="1163"/>
      <c r="G9" s="1168"/>
      <c r="H9" s="102" t="s">
        <v>470</v>
      </c>
      <c r="I9" s="195">
        <v>21</v>
      </c>
      <c r="J9" s="195">
        <v>12</v>
      </c>
    </row>
    <row r="10" spans="2:19">
      <c r="B10" s="115">
        <f>IF($B$7="Collectif",I11,IF($B$7="Industrie",J11,0))</f>
        <v>0</v>
      </c>
      <c r="C10" s="102">
        <f>IF(C7&gt;12000,"Fonds chaleur",IF($C$7&gt;3000,IF(AND($C$7&lt;6000,$C$7&gt;3000),$C$7-3000,3000),0))</f>
        <v>0</v>
      </c>
      <c r="D10" s="102">
        <f>IF(C10&gt;0,B10,0)</f>
        <v>0</v>
      </c>
      <c r="E10" s="1163"/>
      <c r="G10" s="1168"/>
      <c r="H10" s="102" t="s">
        <v>471</v>
      </c>
      <c r="I10" s="195">
        <v>10</v>
      </c>
      <c r="J10" s="195">
        <v>6</v>
      </c>
    </row>
    <row r="11" spans="2:19">
      <c r="B11" s="115">
        <f>IF($B$7="Collectif",I12,IF($B$7="Industrie",J12,0))</f>
        <v>0</v>
      </c>
      <c r="C11" s="102">
        <f>IF(C7&gt;12000,"Fonds chaleur",IF($C$7&gt;6000,$C$7-6000,0))</f>
        <v>0</v>
      </c>
      <c r="D11" s="102">
        <f>IF(C11&gt;0,B11,0)</f>
        <v>0</v>
      </c>
      <c r="E11" s="1164"/>
      <c r="G11" s="1168"/>
      <c r="H11" s="102" t="s">
        <v>472</v>
      </c>
      <c r="I11" s="195">
        <v>5</v>
      </c>
      <c r="J11" s="195">
        <v>3</v>
      </c>
    </row>
    <row r="12" spans="2:19" ht="16.5" customHeight="1" thickBot="1">
      <c r="B12" s="116" t="s">
        <v>473</v>
      </c>
      <c r="C12" s="117"/>
      <c r="D12" s="118" t="e">
        <f>SUMPRODUCT(C8:C11,D8:D11)/C7</f>
        <v>#DIV/0!</v>
      </c>
      <c r="E12" s="119"/>
      <c r="G12" s="1169"/>
      <c r="H12" s="102" t="s">
        <v>474</v>
      </c>
      <c r="I12" s="195">
        <v>4</v>
      </c>
      <c r="J12" s="195">
        <v>1</v>
      </c>
    </row>
    <row r="13" spans="2:19">
      <c r="B13" s="1"/>
      <c r="C13" s="1"/>
      <c r="D13" s="1"/>
      <c r="E13" s="1"/>
      <c r="G13" s="1"/>
      <c r="H13" s="1"/>
      <c r="I13" s="1"/>
      <c r="J13" s="103"/>
    </row>
    <row r="14" spans="2:19" ht="15" thickBot="1">
      <c r="B14" s="1" t="s">
        <v>475</v>
      </c>
      <c r="C14" s="1"/>
      <c r="D14" s="1"/>
      <c r="E14" s="1"/>
      <c r="G14" s="1"/>
      <c r="H14" s="1"/>
      <c r="I14" s="1"/>
      <c r="J14" s="1"/>
    </row>
    <row r="15" spans="2:19" ht="31.5" customHeight="1">
      <c r="B15" s="109" t="s">
        <v>183</v>
      </c>
      <c r="C15" s="110"/>
      <c r="D15" s="110"/>
      <c r="E15" s="110"/>
      <c r="F15" s="364">
        <v>45292</v>
      </c>
      <c r="G15" s="1"/>
      <c r="H15" s="1"/>
      <c r="I15" s="1"/>
      <c r="J15" s="1"/>
      <c r="N15"/>
      <c r="O15"/>
      <c r="P15"/>
      <c r="Q15"/>
      <c r="R15"/>
      <c r="S15"/>
    </row>
    <row r="16" spans="2:19" ht="15" customHeight="1">
      <c r="B16" s="342" t="s">
        <v>476</v>
      </c>
      <c r="C16" s="104" t="s">
        <v>477</v>
      </c>
      <c r="D16" s="148" t="s">
        <v>478</v>
      </c>
      <c r="E16" s="104" t="s">
        <v>479</v>
      </c>
      <c r="F16" s="114" t="s">
        <v>465</v>
      </c>
      <c r="G16" s="1"/>
      <c r="H16" s="1"/>
      <c r="I16" s="1"/>
      <c r="J16" s="1"/>
      <c r="N16"/>
      <c r="O16"/>
      <c r="P16"/>
      <c r="Q16"/>
      <c r="R16"/>
      <c r="S16"/>
    </row>
    <row r="17" spans="1:19" ht="15" customHeight="1">
      <c r="B17" s="115" t="s">
        <v>480</v>
      </c>
      <c r="C17" s="102">
        <f>'Fiche projet biomasse'!K229</f>
        <v>0</v>
      </c>
      <c r="D17" s="102">
        <f>1190</f>
        <v>1190</v>
      </c>
      <c r="E17" s="102">
        <f>C17*D17</f>
        <v>0</v>
      </c>
      <c r="F17" s="1162">
        <f>SUM(E17:E22)</f>
        <v>0</v>
      </c>
      <c r="G17" s="1"/>
      <c r="H17" s="1"/>
      <c r="I17" s="1"/>
      <c r="J17" s="1"/>
      <c r="N17"/>
      <c r="O17"/>
      <c r="P17"/>
      <c r="Q17"/>
      <c r="R17"/>
      <c r="S17"/>
    </row>
    <row r="18" spans="1:19" ht="15" customHeight="1">
      <c r="B18" s="115" t="s">
        <v>481</v>
      </c>
      <c r="C18" s="102">
        <f>'Fiche projet biomasse'!J229</f>
        <v>0</v>
      </c>
      <c r="D18" s="102">
        <v>770</v>
      </c>
      <c r="E18" s="102">
        <f t="shared" ref="E18:E22" si="0">C18*D18</f>
        <v>0</v>
      </c>
      <c r="F18" s="1163"/>
      <c r="G18" s="1"/>
      <c r="I18" s="348"/>
      <c r="J18" s="1"/>
      <c r="P18"/>
      <c r="Q18"/>
      <c r="R18"/>
      <c r="S18"/>
    </row>
    <row r="19" spans="1:19" ht="15" customHeight="1">
      <c r="B19" s="115" t="s">
        <v>482</v>
      </c>
      <c r="C19" s="102">
        <f>'Fiche projet biomasse'!I229</f>
        <v>0</v>
      </c>
      <c r="D19" s="102">
        <v>610</v>
      </c>
      <c r="E19" s="102">
        <f t="shared" si="0"/>
        <v>0</v>
      </c>
      <c r="F19" s="1163"/>
      <c r="G19" s="1"/>
      <c r="H19" s="1"/>
      <c r="I19" s="1"/>
      <c r="J19" s="1"/>
      <c r="P19"/>
      <c r="Q19"/>
      <c r="R19"/>
      <c r="S19"/>
    </row>
    <row r="20" spans="1:19" ht="15" customHeight="1">
      <c r="B20" s="115" t="s">
        <v>483</v>
      </c>
      <c r="C20" s="102">
        <f>'Fiche projet biomasse'!H229</f>
        <v>0</v>
      </c>
      <c r="D20" s="102">
        <v>450</v>
      </c>
      <c r="E20" s="102">
        <f t="shared" si="0"/>
        <v>0</v>
      </c>
      <c r="F20" s="1163"/>
      <c r="G20" s="1"/>
      <c r="H20" s="1"/>
      <c r="I20" s="1"/>
      <c r="J20" s="1"/>
      <c r="P20"/>
      <c r="Q20"/>
      <c r="R20"/>
      <c r="S20"/>
    </row>
    <row r="21" spans="1:19" ht="15.75" customHeight="1">
      <c r="B21" s="115" t="s">
        <v>484</v>
      </c>
      <c r="C21" s="102">
        <f>'Fiche projet biomasse'!G229</f>
        <v>0</v>
      </c>
      <c r="D21" s="102">
        <v>390</v>
      </c>
      <c r="E21" s="102">
        <f t="shared" si="0"/>
        <v>0</v>
      </c>
      <c r="F21" s="1163"/>
      <c r="G21" s="1"/>
      <c r="H21" s="1"/>
      <c r="I21" s="1"/>
      <c r="J21" s="1"/>
      <c r="P21"/>
      <c r="Q21"/>
      <c r="R21"/>
      <c r="S21"/>
    </row>
    <row r="22" spans="1:19" ht="15" customHeight="1">
      <c r="B22" s="343" t="s">
        <v>485</v>
      </c>
      <c r="C22" s="102">
        <f>'Fiche projet biomasse'!I227</f>
        <v>0</v>
      </c>
      <c r="D22" s="102">
        <v>1330</v>
      </c>
      <c r="E22" s="102">
        <f t="shared" si="0"/>
        <v>0</v>
      </c>
      <c r="F22" s="1163"/>
      <c r="G22" s="1"/>
      <c r="H22" s="1"/>
      <c r="I22" s="1"/>
      <c r="J22" s="1"/>
      <c r="P22"/>
      <c r="Q22"/>
      <c r="R22"/>
      <c r="S22"/>
    </row>
    <row r="23" spans="1:19" ht="15.75" customHeight="1" thickBot="1">
      <c r="B23" s="116" t="s">
        <v>486</v>
      </c>
      <c r="C23" s="117"/>
      <c r="D23" s="117"/>
      <c r="E23" s="118" t="e">
        <f>F17/(SUM(C17:C21))</f>
        <v>#DIV/0!</v>
      </c>
      <c r="F23" s="119"/>
      <c r="G23" s="1"/>
      <c r="H23" s="1"/>
      <c r="I23" s="1"/>
      <c r="J23" s="1"/>
    </row>
    <row r="24" spans="1:19">
      <c r="B24" s="1"/>
      <c r="C24" s="1"/>
      <c r="D24" s="1"/>
      <c r="E24" s="1"/>
      <c r="G24" s="1"/>
      <c r="H24" s="1"/>
      <c r="I24" s="1"/>
      <c r="J24" s="1"/>
    </row>
    <row r="25" spans="1:19">
      <c r="B25" s="1"/>
      <c r="C25" s="1"/>
      <c r="D25" s="1"/>
      <c r="E25" s="1"/>
      <c r="G25" s="1"/>
      <c r="H25" s="1"/>
      <c r="I25" s="1"/>
      <c r="J25" s="1"/>
    </row>
    <row r="26" spans="1:19" ht="15.6">
      <c r="A26" s="345"/>
      <c r="C26" s="348"/>
      <c r="D26" s="346"/>
      <c r="E26" s="347"/>
      <c r="G26" s="1"/>
      <c r="H26" s="1"/>
      <c r="I26" s="1"/>
      <c r="J26" s="1"/>
    </row>
    <row r="27" spans="1:19" ht="15" thickBot="1">
      <c r="B27" s="1"/>
      <c r="C27" s="1"/>
      <c r="D27" s="1"/>
      <c r="E27" s="1"/>
      <c r="G27" s="1"/>
      <c r="H27" s="1"/>
      <c r="I27" s="1"/>
      <c r="J27" s="1"/>
    </row>
    <row r="28" spans="1:19" ht="15" customHeight="1" thickBot="1">
      <c r="B28" s="149" t="s">
        <v>487</v>
      </c>
      <c r="C28" s="150"/>
      <c r="D28" s="151"/>
      <c r="E28" s="152">
        <f>subvention_ADEMEr+subvention_ADEME</f>
        <v>0</v>
      </c>
      <c r="G28" s="1"/>
      <c r="H28" s="1"/>
      <c r="I28" s="1"/>
      <c r="J28" s="1"/>
    </row>
    <row r="29" spans="1:19" ht="15" customHeight="1">
      <c r="B29" s="1"/>
      <c r="C29" s="1"/>
      <c r="D29" s="1"/>
      <c r="E29" s="1"/>
      <c r="G29" s="1"/>
      <c r="H29" s="1"/>
      <c r="I29" s="1"/>
      <c r="J29" s="1"/>
    </row>
    <row r="30" spans="1:19" ht="15" customHeight="1" thickBot="1">
      <c r="B30" s="1"/>
      <c r="C30" s="1"/>
      <c r="D30" s="1"/>
      <c r="E30" s="1"/>
      <c r="G30" s="1"/>
      <c r="H30" s="1"/>
      <c r="I30" s="1"/>
      <c r="J30" s="1"/>
    </row>
    <row r="31" spans="1:19">
      <c r="B31" s="736" t="s">
        <v>813</v>
      </c>
      <c r="C31" s="737"/>
      <c r="D31" s="737"/>
      <c r="E31" s="737"/>
      <c r="F31" s="738"/>
      <c r="G31" s="1"/>
      <c r="H31" s="1"/>
      <c r="I31" s="1"/>
      <c r="J31" s="1"/>
    </row>
    <row r="32" spans="1:19">
      <c r="B32" s="739" t="s">
        <v>803</v>
      </c>
      <c r="C32" s="730">
        <f>0.8*dep_eligibles</f>
        <v>0</v>
      </c>
      <c r="D32" s="1" t="str">
        <f>IF(concurrentiel="Non","appliqué","non concerné ici")</f>
        <v>non concerné ici</v>
      </c>
      <c r="E32" s="1"/>
      <c r="F32" s="740"/>
      <c r="G32" s="1"/>
      <c r="H32" s="1"/>
      <c r="I32" s="1"/>
      <c r="J32" s="1"/>
    </row>
    <row r="33" spans="2:10" ht="15.75" customHeight="1">
      <c r="B33" s="741" t="s">
        <v>804</v>
      </c>
      <c r="C33" s="1">
        <f>concurrentiel</f>
        <v>0</v>
      </c>
      <c r="D33" s="1"/>
      <c r="E33" s="1" t="str">
        <f>IF('Fiche projet biomasse'!I232=1,"Réseau 100% EnR","")</f>
        <v/>
      </c>
      <c r="F33" s="740"/>
      <c r="G33" s="1"/>
      <c r="H33" s="1"/>
      <c r="I33" s="1"/>
      <c r="J33" s="1"/>
    </row>
    <row r="34" spans="2:10" ht="15.75" customHeight="1">
      <c r="B34" s="741" t="s">
        <v>598</v>
      </c>
      <c r="C34" s="1">
        <f>'Fiche projet biomasse'!J28</f>
        <v>0</v>
      </c>
      <c r="D34" s="1"/>
      <c r="E34" s="1"/>
      <c r="F34" s="740"/>
      <c r="G34" s="1"/>
      <c r="H34" s="1"/>
      <c r="I34" s="1"/>
      <c r="J34" s="1"/>
    </row>
    <row r="35" spans="2:10" ht="15" customHeight="1">
      <c r="B35" s="741" t="s">
        <v>802</v>
      </c>
      <c r="C35" s="742" t="str">
        <f>'Fiche projet biomasse'!G222</f>
        <v>article 41</v>
      </c>
      <c r="D35" s="1"/>
      <c r="E35" s="1"/>
      <c r="F35" s="740"/>
      <c r="G35" s="1"/>
      <c r="H35" s="1"/>
      <c r="I35" s="1"/>
      <c r="J35" s="1"/>
    </row>
    <row r="36" spans="2:10" ht="15" customHeight="1">
      <c r="B36" s="741" t="s">
        <v>805</v>
      </c>
      <c r="C36" s="1" t="str">
        <f>IF('Fiche projet biomasse'!I232=1,"oui","non")</f>
        <v>non</v>
      </c>
      <c r="D36" s="1"/>
      <c r="E36" s="1"/>
      <c r="F36" s="740"/>
      <c r="G36" s="1"/>
      <c r="H36" s="1"/>
      <c r="I36" s="1"/>
      <c r="J36" s="1"/>
    </row>
    <row r="37" spans="2:10" ht="15" customHeight="1">
      <c r="B37" s="741" t="s">
        <v>806</v>
      </c>
      <c r="C37" s="730" t="str">
        <f>IF(C34="petite",0.65*dep_eligibles,IF(C34="moyenne",0.55*dep_eligibles,IF(C34="grande",0.45*dep_eligibles,"erreur")))</f>
        <v>erreur</v>
      </c>
      <c r="D37" s="1"/>
      <c r="E37" s="1"/>
      <c r="F37" s="743"/>
      <c r="G37" s="1"/>
      <c r="H37" s="1"/>
      <c r="I37" s="1"/>
      <c r="J37" s="1"/>
    </row>
    <row r="38" spans="2:10" s="1" customFormat="1">
      <c r="B38" s="741" t="s">
        <v>807</v>
      </c>
      <c r="C38" s="730">
        <f>IF(C34="petite",IF(C36="oui",0.65,0.5)*dep_eligibles,IF(C34="moyenne",IF(C36="oui",0.65,0.5)*dep_eligibles,IF(C36="oui",0.65,0.5)*dep_eligibles))</f>
        <v>0</v>
      </c>
      <c r="F38" s="740"/>
    </row>
    <row r="39" spans="2:10" s="1" customFormat="1">
      <c r="B39" s="741" t="s">
        <v>809</v>
      </c>
      <c r="C39" s="730"/>
      <c r="D39" s="749" t="s">
        <v>814</v>
      </c>
      <c r="E39" s="1" t="str">
        <f>IF(C40&gt;C38,"déficit de financement","taux d'aide")</f>
        <v>taux d'aide</v>
      </c>
      <c r="F39" s="744"/>
    </row>
    <row r="40" spans="2:10" s="1" customFormat="1" ht="15" thickBot="1">
      <c r="B40" s="745" t="s">
        <v>808</v>
      </c>
      <c r="C40" s="746">
        <f>'Calcul déficit de financement'!A43</f>
        <v>0</v>
      </c>
      <c r="D40" s="747"/>
      <c r="E40" s="747"/>
      <c r="F40" s="748"/>
    </row>
    <row r="41" spans="2:10" s="1" customFormat="1">
      <c r="C41" s="730"/>
    </row>
    <row r="42" spans="2:10" s="1" customFormat="1"/>
    <row r="43" spans="2:10" s="1" customFormat="1"/>
    <row r="44" spans="2:10" s="1" customFormat="1"/>
    <row r="45" spans="2:10" s="1" customFormat="1"/>
    <row r="46" spans="2:10" s="1" customFormat="1"/>
    <row r="47" spans="2:10" s="1" customFormat="1"/>
    <row r="48" spans="2:10" s="1" customFormat="1">
      <c r="J48"/>
    </row>
    <row r="49" spans="2:10" s="1" customFormat="1">
      <c r="J49"/>
    </row>
    <row r="50" spans="2:10" s="1" customFormat="1">
      <c r="J50"/>
    </row>
    <row r="51" spans="2:10" s="1" customFormat="1">
      <c r="J51"/>
    </row>
    <row r="52" spans="2:10" s="1" customFormat="1">
      <c r="G52"/>
      <c r="H52"/>
      <c r="I52"/>
      <c r="J52"/>
    </row>
    <row r="53" spans="2:10" s="1" customFormat="1">
      <c r="G53"/>
      <c r="H53"/>
      <c r="I53"/>
      <c r="J53"/>
    </row>
    <row r="54" spans="2:10" s="1" customFormat="1">
      <c r="G54"/>
      <c r="H54"/>
      <c r="I54"/>
      <c r="J54"/>
    </row>
    <row r="55" spans="2:10" s="1" customFormat="1">
      <c r="G55"/>
      <c r="H55"/>
      <c r="I55"/>
      <c r="J55"/>
    </row>
    <row r="56" spans="2:10" s="1" customFormat="1">
      <c r="G56"/>
      <c r="H56"/>
      <c r="I56"/>
      <c r="J56"/>
    </row>
    <row r="57" spans="2:10" s="1" customFormat="1">
      <c r="G57"/>
      <c r="H57"/>
      <c r="I57"/>
      <c r="J57"/>
    </row>
    <row r="58" spans="2:10" s="1" customFormat="1">
      <c r="G58"/>
      <c r="H58"/>
      <c r="I58"/>
      <c r="J58"/>
    </row>
    <row r="59" spans="2:10" s="1" customFormat="1">
      <c r="G59"/>
      <c r="H59"/>
      <c r="I59"/>
      <c r="J59"/>
    </row>
    <row r="60" spans="2:10" s="1" customFormat="1">
      <c r="G60"/>
      <c r="H60"/>
      <c r="I60"/>
      <c r="J60"/>
    </row>
    <row r="61" spans="2:10" s="1" customFormat="1">
      <c r="G61"/>
      <c r="H61"/>
      <c r="I61"/>
      <c r="J61"/>
    </row>
    <row r="62" spans="2:10" s="1" customFormat="1">
      <c r="G62"/>
      <c r="H62"/>
      <c r="I62"/>
      <c r="J62"/>
    </row>
    <row r="63" spans="2:10">
      <c r="B63" s="1"/>
      <c r="C63" s="1"/>
      <c r="D63" s="1"/>
      <c r="E63" s="1"/>
    </row>
  </sheetData>
  <sheetProtection algorithmName="SHA-512" hashValue="8ZksPq9/klboG37LHBEt/fUp1CQGTPULl4X34ldftzBUTWheCR+tlvzm/lzHuRjYUl7qjvWMp3b7EaDl63Ga+A==" saltValue="0N+/3NzTztw+zvHz6h3Qxg==" spinCount="100000" sheet="1" objects="1" scenarios="1"/>
  <mergeCells count="5">
    <mergeCell ref="F17:F22"/>
    <mergeCell ref="E8:E11"/>
    <mergeCell ref="I7:J7"/>
    <mergeCell ref="G6:J6"/>
    <mergeCell ref="G8:G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Q103"/>
  <sheetViews>
    <sheetView workbookViewId="0">
      <selection activeCell="E7" sqref="E7"/>
    </sheetView>
  </sheetViews>
  <sheetFormatPr defaultColWidth="11.44140625" defaultRowHeight="14.4"/>
  <cols>
    <col min="1" max="1" width="15" customWidth="1"/>
    <col min="2" max="2" width="1.5546875" customWidth="1"/>
    <col min="3" max="3" width="19.21875" customWidth="1"/>
    <col min="4" max="4" width="1.44140625" customWidth="1"/>
    <col min="5" max="5" width="51.77734375" customWidth="1"/>
    <col min="6" max="6" width="1.44140625" customWidth="1"/>
    <col min="7" max="7" width="13.77734375" customWidth="1"/>
    <col min="8" max="8" width="1" customWidth="1"/>
    <col min="9" max="9" width="21.77734375" customWidth="1"/>
    <col min="10" max="10" width="1.77734375" customWidth="1"/>
    <col min="11" max="11" width="13.21875" customWidth="1"/>
    <col min="12" max="12" width="1.5546875" customWidth="1"/>
    <col min="13" max="13" width="76.5546875" customWidth="1"/>
    <col min="14" max="14" width="1.5546875" customWidth="1"/>
    <col min="15" max="15" width="16.21875" customWidth="1"/>
    <col min="16" max="16" width="1.21875" customWidth="1"/>
    <col min="17" max="17" width="45.5546875" customWidth="1"/>
    <col min="18" max="18" width="1.77734375" customWidth="1"/>
    <col min="19" max="19" width="39.44140625" customWidth="1"/>
    <col min="20" max="20" width="1.44140625" customWidth="1"/>
    <col min="21" max="21" width="16.44140625" customWidth="1"/>
    <col min="22" max="22" width="1" customWidth="1"/>
    <col min="23" max="23" width="24.77734375" customWidth="1"/>
    <col min="24" max="24" width="1.21875" customWidth="1"/>
    <col min="25" max="25" width="22.21875" customWidth="1"/>
    <col min="26" max="26" width="1.44140625" customWidth="1"/>
    <col min="27" max="27" width="30.77734375" customWidth="1"/>
    <col min="28" max="28" width="1" customWidth="1"/>
    <col min="29" max="29" width="25.21875" customWidth="1"/>
    <col min="30" max="30" width="1.5546875" customWidth="1"/>
    <col min="31" max="31" width="20.21875" customWidth="1"/>
    <col min="32" max="32" width="1.77734375" customWidth="1"/>
    <col min="33" max="33" width="33.21875" customWidth="1"/>
    <col min="34" max="34" width="4.21875" customWidth="1"/>
    <col min="35" max="35" width="16.44140625" customWidth="1"/>
    <col min="36" max="36" width="1.21875" customWidth="1"/>
    <col min="37" max="37" width="24.77734375" customWidth="1"/>
    <col min="38" max="38" width="1.77734375" customWidth="1"/>
    <col min="39" max="39" width="27.21875" customWidth="1"/>
    <col min="40" max="40" width="2.21875" customWidth="1"/>
    <col min="41" max="41" width="59.5546875" customWidth="1"/>
    <col min="42" max="42" width="2.77734375" customWidth="1"/>
    <col min="43" max="43" width="60.5546875" customWidth="1"/>
  </cols>
  <sheetData>
    <row r="1" spans="1:43">
      <c r="A1" s="3" t="s">
        <v>488</v>
      </c>
    </row>
    <row r="2" spans="1:43">
      <c r="A2" s="203" t="s">
        <v>489</v>
      </c>
      <c r="B2" s="203"/>
      <c r="C2" s="203" t="s">
        <v>490</v>
      </c>
      <c r="E2" s="5" t="s">
        <v>491</v>
      </c>
    </row>
    <row r="5" spans="1:43" s="8" customFormat="1">
      <c r="A5" s="10" t="s">
        <v>492</v>
      </c>
      <c r="C5" s="10" t="s">
        <v>493</v>
      </c>
      <c r="E5" s="10" t="s">
        <v>494</v>
      </c>
      <c r="G5" s="10" t="s">
        <v>46</v>
      </c>
      <c r="I5" s="8" t="s">
        <v>495</v>
      </c>
      <c r="K5" s="10" t="s">
        <v>496</v>
      </c>
      <c r="M5" s="86" t="s">
        <v>286</v>
      </c>
      <c r="N5" s="86"/>
      <c r="O5" s="86" t="s">
        <v>497</v>
      </c>
      <c r="Q5" s="86" t="s">
        <v>498</v>
      </c>
      <c r="S5" s="86" t="s">
        <v>499</v>
      </c>
      <c r="U5" s="86" t="s">
        <v>500</v>
      </c>
      <c r="W5" s="86" t="s">
        <v>501</v>
      </c>
      <c r="Y5" s="86" t="s">
        <v>502</v>
      </c>
      <c r="AA5" s="86" t="s">
        <v>70</v>
      </c>
      <c r="AC5" s="86" t="s">
        <v>503</v>
      </c>
      <c r="AE5" s="8" t="s">
        <v>504</v>
      </c>
      <c r="AG5" s="86" t="s">
        <v>503</v>
      </c>
      <c r="AI5" s="8" t="s">
        <v>505</v>
      </c>
      <c r="AK5" s="144" t="s">
        <v>233</v>
      </c>
      <c r="AM5" t="s">
        <v>41</v>
      </c>
      <c r="AO5" s="144" t="s">
        <v>506</v>
      </c>
      <c r="AQ5" s="144" t="s">
        <v>507</v>
      </c>
    </row>
    <row r="6" spans="1:43" s="8" customFormat="1">
      <c r="A6" s="10"/>
      <c r="C6" s="10"/>
      <c r="E6" s="8" t="s">
        <v>576</v>
      </c>
      <c r="G6" s="10"/>
      <c r="K6" s="10"/>
      <c r="M6" s="86"/>
      <c r="N6" s="7"/>
      <c r="O6" s="86"/>
      <c r="Q6" s="86"/>
      <c r="S6" s="86"/>
      <c r="U6" s="86"/>
      <c r="W6" s="86"/>
      <c r="Y6" s="86"/>
      <c r="AA6" s="86"/>
      <c r="AC6" s="86"/>
      <c r="AG6" s="86"/>
      <c r="AK6" s="145"/>
      <c r="AM6" s="310" t="s">
        <v>508</v>
      </c>
      <c r="AO6" s="147" t="s">
        <v>509</v>
      </c>
      <c r="AQ6" s="147" t="s">
        <v>510</v>
      </c>
    </row>
    <row r="7" spans="1:43" s="8" customFormat="1">
      <c r="A7" s="7" t="s">
        <v>511</v>
      </c>
      <c r="C7" s="7" t="s">
        <v>39</v>
      </c>
      <c r="E7" s="7" t="s">
        <v>512</v>
      </c>
      <c r="G7" s="7" t="s">
        <v>513</v>
      </c>
      <c r="I7" s="7" t="s">
        <v>234</v>
      </c>
      <c r="K7" s="7" t="s">
        <v>514</v>
      </c>
      <c r="M7" s="7" t="s">
        <v>515</v>
      </c>
      <c r="N7" s="7"/>
      <c r="O7" s="7" t="s">
        <v>516</v>
      </c>
      <c r="Q7" s="7" t="s">
        <v>517</v>
      </c>
      <c r="S7" s="7" t="s">
        <v>518</v>
      </c>
      <c r="U7" s="7" t="s">
        <v>519</v>
      </c>
      <c r="W7" s="8" t="s">
        <v>520</v>
      </c>
      <c r="Y7" s="7" t="s">
        <v>521</v>
      </c>
      <c r="AA7" s="7" t="s">
        <v>522</v>
      </c>
      <c r="AC7" s="7" t="s">
        <v>523</v>
      </c>
      <c r="AE7" s="8">
        <v>1</v>
      </c>
      <c r="AG7" s="7" t="s">
        <v>523</v>
      </c>
      <c r="AI7" s="8" t="s">
        <v>305</v>
      </c>
      <c r="AK7" s="146" t="s">
        <v>234</v>
      </c>
      <c r="AM7" s="310" t="s">
        <v>469</v>
      </c>
      <c r="AO7" s="146" t="s">
        <v>524</v>
      </c>
      <c r="AQ7" s="146" t="s">
        <v>525</v>
      </c>
    </row>
    <row r="8" spans="1:43" s="8" customFormat="1">
      <c r="A8" s="7" t="s">
        <v>526</v>
      </c>
      <c r="C8" s="7" t="s">
        <v>527</v>
      </c>
      <c r="E8" s="7"/>
      <c r="G8" s="7" t="s">
        <v>528</v>
      </c>
      <c r="I8" s="7" t="s">
        <v>529</v>
      </c>
      <c r="K8" s="7" t="s">
        <v>530</v>
      </c>
      <c r="M8" s="7" t="s">
        <v>531</v>
      </c>
      <c r="N8" s="7"/>
      <c r="O8" s="7" t="s">
        <v>532</v>
      </c>
      <c r="Q8" s="7" t="s">
        <v>533</v>
      </c>
      <c r="S8" s="7" t="s">
        <v>173</v>
      </c>
      <c r="U8" s="7" t="s">
        <v>234</v>
      </c>
      <c r="W8" s="8" t="s">
        <v>534</v>
      </c>
      <c r="Y8" s="7" t="s">
        <v>535</v>
      </c>
      <c r="AA8" s="7" t="s">
        <v>536</v>
      </c>
      <c r="AC8" s="7" t="s">
        <v>537</v>
      </c>
      <c r="AE8" s="8">
        <v>1</v>
      </c>
      <c r="AG8" s="7" t="s">
        <v>537</v>
      </c>
      <c r="AI8" s="8" t="s">
        <v>538</v>
      </c>
      <c r="AK8" s="147" t="s">
        <v>539</v>
      </c>
      <c r="AM8" s="311" t="s">
        <v>540</v>
      </c>
      <c r="AQ8" s="147" t="s">
        <v>541</v>
      </c>
    </row>
    <row r="9" spans="1:43" s="8" customFormat="1">
      <c r="A9" s="7" t="s">
        <v>542</v>
      </c>
      <c r="C9" s="7" t="s">
        <v>108</v>
      </c>
      <c r="E9" s="7"/>
      <c r="G9" s="7" t="s">
        <v>543</v>
      </c>
      <c r="I9" s="7" t="s">
        <v>544</v>
      </c>
      <c r="K9" s="7"/>
      <c r="M9" s="7" t="s">
        <v>545</v>
      </c>
      <c r="N9" s="7"/>
      <c r="O9" s="7" t="s">
        <v>546</v>
      </c>
      <c r="Q9" s="7" t="s">
        <v>547</v>
      </c>
      <c r="S9" s="7" t="s">
        <v>819</v>
      </c>
      <c r="U9" s="7" t="s">
        <v>548</v>
      </c>
      <c r="W9" s="8" t="s">
        <v>549</v>
      </c>
      <c r="Y9" s="7" t="s">
        <v>550</v>
      </c>
      <c r="AA9" s="7" t="s">
        <v>551</v>
      </c>
      <c r="AC9" s="7" t="s">
        <v>552</v>
      </c>
      <c r="AE9" s="8">
        <v>1</v>
      </c>
      <c r="AG9" s="7" t="s">
        <v>552</v>
      </c>
      <c r="AK9" s="146" t="s">
        <v>544</v>
      </c>
      <c r="AM9" s="311" t="s">
        <v>553</v>
      </c>
    </row>
    <row r="10" spans="1:43" s="8" customFormat="1">
      <c r="A10" s="7" t="s">
        <v>554</v>
      </c>
      <c r="E10" s="7"/>
      <c r="G10" s="7" t="s">
        <v>555</v>
      </c>
      <c r="I10" s="7" t="s">
        <v>546</v>
      </c>
      <c r="M10" s="7" t="s">
        <v>556</v>
      </c>
      <c r="N10" s="7"/>
      <c r="O10" s="7"/>
      <c r="Q10" s="7" t="s">
        <v>820</v>
      </c>
      <c r="S10" s="7" t="s">
        <v>546</v>
      </c>
      <c r="U10" s="7" t="s">
        <v>544</v>
      </c>
      <c r="W10" s="8" t="s">
        <v>557</v>
      </c>
      <c r="Y10" s="7" t="s">
        <v>546</v>
      </c>
      <c r="Z10" s="7"/>
      <c r="AA10" s="7" t="s">
        <v>558</v>
      </c>
      <c r="AC10" s="147" t="s">
        <v>559</v>
      </c>
      <c r="AE10" s="8">
        <v>0</v>
      </c>
      <c r="AG10" s="7" t="s">
        <v>559</v>
      </c>
      <c r="AM10" s="311" t="s">
        <v>560</v>
      </c>
      <c r="AO10" s="144" t="s">
        <v>561</v>
      </c>
      <c r="AQ10" s="144" t="s">
        <v>562</v>
      </c>
    </row>
    <row r="11" spans="1:43" s="8" customFormat="1">
      <c r="A11" s="7" t="s">
        <v>563</v>
      </c>
      <c r="E11" s="7"/>
      <c r="G11" s="7" t="s">
        <v>564</v>
      </c>
      <c r="M11" s="7" t="s">
        <v>565</v>
      </c>
      <c r="N11" s="7"/>
      <c r="O11" s="7"/>
      <c r="Q11" s="7" t="s">
        <v>546</v>
      </c>
      <c r="U11" s="7" t="s">
        <v>546</v>
      </c>
      <c r="W11" s="8" t="s">
        <v>566</v>
      </c>
      <c r="AA11" s="7" t="s">
        <v>567</v>
      </c>
      <c r="AC11" s="7" t="s">
        <v>568</v>
      </c>
      <c r="AE11" s="8">
        <v>0</v>
      </c>
      <c r="AG11" s="7" t="s">
        <v>569</v>
      </c>
      <c r="AM11" s="311" t="s">
        <v>570</v>
      </c>
      <c r="AO11" s="147" t="s">
        <v>571</v>
      </c>
      <c r="AQ11" s="147" t="s">
        <v>572</v>
      </c>
    </row>
    <row r="12" spans="1:43" s="8" customFormat="1">
      <c r="A12" s="7" t="s">
        <v>573</v>
      </c>
      <c r="G12" s="7" t="s">
        <v>546</v>
      </c>
      <c r="M12" s="7" t="s">
        <v>574</v>
      </c>
      <c r="N12" s="7"/>
      <c r="W12" s="7" t="s">
        <v>546</v>
      </c>
      <c r="AA12" s="7" t="s">
        <v>575</v>
      </c>
      <c r="AC12" s="7" t="s">
        <v>569</v>
      </c>
      <c r="AE12" s="8">
        <v>1</v>
      </c>
      <c r="AG12" s="146" t="s">
        <v>576</v>
      </c>
      <c r="AK12" s="144" t="s">
        <v>183</v>
      </c>
      <c r="AM12" s="311" t="s">
        <v>577</v>
      </c>
      <c r="AO12" s="146" t="s">
        <v>578</v>
      </c>
      <c r="AQ12" s="146" t="s">
        <v>579</v>
      </c>
    </row>
    <row r="13" spans="1:43" s="8" customFormat="1">
      <c r="A13" s="7" t="s">
        <v>580</v>
      </c>
      <c r="M13" s="7" t="s">
        <v>581</v>
      </c>
      <c r="N13" s="7"/>
      <c r="AA13" s="7" t="s">
        <v>582</v>
      </c>
      <c r="AC13" s="7" t="s">
        <v>583</v>
      </c>
      <c r="AE13" s="8">
        <v>2.58</v>
      </c>
      <c r="AG13" s="7" t="s">
        <v>583</v>
      </c>
      <c r="AK13" s="145" t="s">
        <v>584</v>
      </c>
      <c r="AM13" s="311" t="s">
        <v>585</v>
      </c>
      <c r="AO13" s="147" t="s">
        <v>586</v>
      </c>
    </row>
    <row r="14" spans="1:43" s="8" customFormat="1">
      <c r="A14" s="7" t="s">
        <v>546</v>
      </c>
      <c r="M14" s="7" t="s">
        <v>587</v>
      </c>
      <c r="N14" s="7"/>
      <c r="AA14" s="7" t="s">
        <v>588</v>
      </c>
      <c r="AC14" s="7" t="s">
        <v>589</v>
      </c>
      <c r="AE14" s="8">
        <v>0</v>
      </c>
      <c r="AG14" s="7" t="s">
        <v>589</v>
      </c>
      <c r="AK14" s="146" t="s">
        <v>226</v>
      </c>
      <c r="AM14" s="311" t="s">
        <v>590</v>
      </c>
      <c r="AO14" s="146" t="s">
        <v>591</v>
      </c>
    </row>
    <row r="15" spans="1:43" s="8" customFormat="1">
      <c r="A15" s="7"/>
      <c r="M15" s="7" t="s">
        <v>592</v>
      </c>
      <c r="N15" s="7"/>
      <c r="AA15" s="7" t="s">
        <v>593</v>
      </c>
      <c r="AE15" s="8">
        <v>1</v>
      </c>
      <c r="AK15" s="147" t="s">
        <v>594</v>
      </c>
      <c r="AM15" s="312" t="s">
        <v>595</v>
      </c>
      <c r="AO15"/>
    </row>
    <row r="16" spans="1:43" s="8" customFormat="1">
      <c r="A16" s="7"/>
      <c r="M16" s="7" t="s">
        <v>596</v>
      </c>
      <c r="N16" s="7"/>
      <c r="AA16" s="7" t="s">
        <v>597</v>
      </c>
      <c r="AK16" s="146"/>
      <c r="AO16"/>
    </row>
    <row r="17" spans="1:41" s="8" customFormat="1">
      <c r="A17" s="7"/>
      <c r="C17" s="10" t="s">
        <v>598</v>
      </c>
      <c r="M17" s="7" t="s">
        <v>599</v>
      </c>
      <c r="N17" s="7"/>
      <c r="AA17" s="7" t="s">
        <v>600</v>
      </c>
      <c r="AO17"/>
    </row>
    <row r="18" spans="1:41" s="8" customFormat="1">
      <c r="A18" s="293" t="s">
        <v>601</v>
      </c>
      <c r="C18" s="10"/>
      <c r="M18" s="7" t="s">
        <v>602</v>
      </c>
      <c r="N18" s="7"/>
      <c r="AA18" s="7" t="s">
        <v>603</v>
      </c>
      <c r="AO18"/>
    </row>
    <row r="19" spans="1:41" s="8" customFormat="1">
      <c r="A19" s="294"/>
      <c r="C19" s="7" t="s">
        <v>604</v>
      </c>
      <c r="M19" s="7" t="s">
        <v>605</v>
      </c>
      <c r="N19" s="7"/>
      <c r="AO19"/>
    </row>
    <row r="20" spans="1:41" s="8" customFormat="1">
      <c r="A20" s="146" t="s">
        <v>606</v>
      </c>
      <c r="C20" s="7" t="s">
        <v>607</v>
      </c>
      <c r="M20" s="7" t="s">
        <v>608</v>
      </c>
      <c r="N20" s="7"/>
      <c r="AC20" s="7"/>
      <c r="AO20"/>
    </row>
    <row r="21" spans="1:41" s="8" customFormat="1">
      <c r="A21" s="147" t="s">
        <v>609</v>
      </c>
      <c r="C21" s="8" t="s">
        <v>40</v>
      </c>
      <c r="M21" s="7" t="s">
        <v>610</v>
      </c>
      <c r="N21" s="7"/>
      <c r="AC21" s="7"/>
      <c r="AO21"/>
    </row>
    <row r="22" spans="1:41" s="8" customFormat="1">
      <c r="A22" s="146" t="s">
        <v>65</v>
      </c>
      <c r="M22" s="7" t="s">
        <v>611</v>
      </c>
      <c r="Q22"/>
      <c r="AC22" s="7"/>
      <c r="AO22"/>
    </row>
    <row r="23" spans="1:41" s="8" customFormat="1">
      <c r="A23" s="147" t="s">
        <v>612</v>
      </c>
      <c r="M23" s="7" t="s">
        <v>546</v>
      </c>
      <c r="Q23"/>
      <c r="AC23" s="7"/>
      <c r="AO23"/>
    </row>
    <row r="24" spans="1:41" s="8" customFormat="1">
      <c r="A24" s="146" t="s">
        <v>613</v>
      </c>
      <c r="K24"/>
      <c r="Q24"/>
      <c r="AC24" s="7"/>
      <c r="AG24"/>
      <c r="AO24"/>
    </row>
    <row r="25" spans="1:41">
      <c r="A25" s="147" t="s">
        <v>614</v>
      </c>
      <c r="Y25" s="8"/>
      <c r="AC25" s="7"/>
    </row>
    <row r="26" spans="1:41">
      <c r="A26" s="146" t="s">
        <v>615</v>
      </c>
      <c r="M26" s="313" t="s">
        <v>616</v>
      </c>
      <c r="AC26" s="7"/>
    </row>
    <row r="27" spans="1:41">
      <c r="A27" s="147" t="s">
        <v>617</v>
      </c>
      <c r="M27" s="313" t="s">
        <v>618</v>
      </c>
      <c r="AC27" s="7"/>
    </row>
    <row r="28" spans="1:41">
      <c r="A28" s="2"/>
      <c r="M28" s="313" t="s">
        <v>619</v>
      </c>
      <c r="AC28" s="7"/>
    </row>
    <row r="29" spans="1:41">
      <c r="A29" s="293" t="s">
        <v>620</v>
      </c>
      <c r="M29" s="313" t="s">
        <v>621</v>
      </c>
    </row>
    <row r="30" spans="1:41">
      <c r="A30" s="294"/>
      <c r="M30" s="313" t="s">
        <v>622</v>
      </c>
    </row>
    <row r="31" spans="1:41">
      <c r="A31" s="146" t="s">
        <v>68</v>
      </c>
      <c r="M31" s="313" t="s">
        <v>608</v>
      </c>
    </row>
    <row r="32" spans="1:41">
      <c r="A32" s="147" t="s">
        <v>623</v>
      </c>
      <c r="M32" s="313" t="s">
        <v>605</v>
      </c>
    </row>
    <row r="33" spans="1:13">
      <c r="A33" s="146" t="s">
        <v>624</v>
      </c>
      <c r="M33" s="313" t="s">
        <v>625</v>
      </c>
    </row>
    <row r="34" spans="1:13">
      <c r="A34" s="2"/>
    </row>
    <row r="35" spans="1:13">
      <c r="A35" s="2"/>
    </row>
    <row r="36" spans="1:13">
      <c r="A36" s="2"/>
    </row>
    <row r="37" spans="1:13">
      <c r="A37" s="2"/>
    </row>
    <row r="38" spans="1:13">
      <c r="A38" s="2"/>
    </row>
    <row r="39" spans="1:13">
      <c r="A39" s="2"/>
    </row>
    <row r="40" spans="1:13">
      <c r="A40" s="2"/>
    </row>
    <row r="41" spans="1:13">
      <c r="A41" s="2"/>
    </row>
    <row r="42" spans="1:13">
      <c r="A42" s="2"/>
    </row>
    <row r="43" spans="1:13">
      <c r="A43" s="2"/>
    </row>
    <row r="44" spans="1:13">
      <c r="A44" s="2"/>
    </row>
    <row r="45" spans="1:13">
      <c r="A45" s="2"/>
    </row>
    <row r="46" spans="1:13">
      <c r="A46" s="2"/>
    </row>
    <row r="47" spans="1:13">
      <c r="A47" s="2"/>
    </row>
    <row r="48" spans="1:13">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sheetData>
  <sheetProtection algorithmName="SHA-512" hashValue="Uwk9vsHmV/GVM5ob1Rx0bBzh+bZX+cPu8iXUzim70AqxIq4956DNQq26TwGH0MIKOJiAmB+ZQLumuC8wnjdOSQ==" saltValue="hE19FQzD6FNLbhkjR9A3Bg==" spinCount="100000" sheet="1" objects="1" scenarios="1"/>
  <pageMargins left="0.7" right="0.7" top="0.75" bottom="0.75" header="0.3" footer="0.3"/>
  <pageSetup paperSize="9"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V106"/>
  <sheetViews>
    <sheetView showGridLines="0" zoomScale="85" zoomScaleNormal="85" workbookViewId="0">
      <selection activeCell="D11" sqref="D11"/>
    </sheetView>
  </sheetViews>
  <sheetFormatPr defaultColWidth="11.44140625" defaultRowHeight="13.2"/>
  <cols>
    <col min="1" max="1" width="2.44140625" style="16" customWidth="1"/>
    <col min="2" max="2" width="7.5546875" style="16" customWidth="1"/>
    <col min="3" max="3" width="2" style="16" customWidth="1"/>
    <col min="4" max="4" width="75.77734375" style="16" customWidth="1"/>
    <col min="5" max="5" width="59.5546875" style="16" customWidth="1"/>
    <col min="6" max="6" width="22.77734375" style="16" customWidth="1"/>
    <col min="7" max="7" width="10" style="16" customWidth="1"/>
    <col min="8" max="8" width="11.44140625" style="16"/>
    <col min="9" max="9" width="42.77734375" style="16" bestFit="1" customWidth="1"/>
    <col min="10" max="10" width="1.5546875" style="16" customWidth="1"/>
    <col min="11" max="11" width="41.5546875" style="16" customWidth="1"/>
    <col min="12" max="12" width="1.5546875" style="16" customWidth="1"/>
    <col min="13" max="13" width="27.21875" style="16" bestFit="1" customWidth="1"/>
    <col min="14" max="14" width="1.5546875" style="18" customWidth="1"/>
    <col min="15" max="15" width="26" style="16" bestFit="1" customWidth="1"/>
    <col min="16" max="16" width="2.44140625" style="16" customWidth="1"/>
    <col min="17" max="17" width="30" style="16" bestFit="1" customWidth="1"/>
    <col min="18" max="18" width="1.5546875" style="16" customWidth="1"/>
    <col min="19" max="19" width="19.44140625" style="16" customWidth="1"/>
    <col min="20" max="20" width="1.5546875" style="16" customWidth="1"/>
    <col min="21" max="21" width="19.44140625" style="16" customWidth="1"/>
    <col min="22" max="22" width="2.5546875" style="16" customWidth="1"/>
    <col min="23" max="23" width="18.77734375" style="16" customWidth="1"/>
    <col min="24" max="24" width="1.5546875" style="16" customWidth="1"/>
    <col min="25" max="25" width="27.44140625" style="16" customWidth="1"/>
    <col min="26" max="26" width="2.21875" style="16" customWidth="1"/>
    <col min="27" max="27" width="11.44140625" style="16"/>
    <col min="28" max="28" width="1.44140625" style="16" customWidth="1"/>
    <col min="29" max="29" width="19" style="16" customWidth="1"/>
    <col min="30" max="30" width="1.77734375" style="16" customWidth="1"/>
    <col min="31" max="31" width="19.5546875" style="16" customWidth="1"/>
    <col min="32" max="32" width="1.5546875" style="16" customWidth="1"/>
    <col min="33" max="33" width="38.44140625" style="16" bestFit="1" customWidth="1"/>
    <col min="34" max="34" width="1" style="16" customWidth="1"/>
    <col min="35" max="35" width="13.77734375" style="16" bestFit="1" customWidth="1"/>
    <col min="36" max="36" width="1" style="16" customWidth="1"/>
    <col min="37" max="37" width="20.77734375" style="16" customWidth="1"/>
    <col min="38" max="38" width="1" style="16" customWidth="1"/>
    <col min="39" max="39" width="24.44140625" style="16" customWidth="1"/>
    <col min="40" max="40" width="1" style="16" customWidth="1"/>
    <col min="41" max="41" width="19.5546875" style="16" customWidth="1"/>
    <col min="42" max="42" width="1" style="16" customWidth="1"/>
    <col min="43" max="43" width="18" style="16" customWidth="1"/>
    <col min="44" max="44" width="1" style="16" customWidth="1"/>
    <col min="45" max="45" width="18.44140625" style="16" customWidth="1"/>
    <col min="46" max="46" width="1.44140625" style="16" customWidth="1"/>
    <col min="47" max="47" width="13.77734375" style="16" customWidth="1"/>
    <col min="48" max="48" width="11.21875" style="16" customWidth="1"/>
    <col min="49" max="49" width="26.5546875" style="16" customWidth="1"/>
    <col min="50" max="16384" width="11.44140625" style="16"/>
  </cols>
  <sheetData>
    <row r="1" spans="1:48" ht="37.5" customHeight="1">
      <c r="D1" s="6" t="s">
        <v>626</v>
      </c>
      <c r="E1" s="6"/>
      <c r="F1" s="6"/>
      <c r="G1" s="6"/>
      <c r="H1" s="17"/>
      <c r="I1" s="17"/>
      <c r="J1" s="17"/>
      <c r="K1" s="17"/>
      <c r="L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row>
    <row r="2" spans="1:48" ht="12.75" customHeight="1">
      <c r="D2" s="19"/>
      <c r="E2" s="19"/>
      <c r="F2" s="20"/>
      <c r="G2" s="19"/>
    </row>
    <row r="3" spans="1:48" ht="24.75" customHeight="1">
      <c r="A3" s="140"/>
      <c r="D3" s="139" t="s">
        <v>627</v>
      </c>
      <c r="E3" s="66"/>
      <c r="F3" s="66"/>
      <c r="G3" s="66"/>
      <c r="M3" s="1179" t="s">
        <v>628</v>
      </c>
      <c r="N3" s="1179"/>
      <c r="O3" s="1179"/>
      <c r="P3" s="1179"/>
      <c r="Q3" s="1179"/>
      <c r="R3" s="1179"/>
      <c r="S3" s="1179"/>
      <c r="T3" s="1179"/>
      <c r="U3" s="1179"/>
      <c r="V3" s="1179"/>
      <c r="W3" s="1179"/>
      <c r="X3" s="1179"/>
      <c r="Y3" s="1179"/>
      <c r="Z3" s="1179"/>
      <c r="AA3" s="1179"/>
      <c r="AB3" s="1179"/>
      <c r="AC3" s="1179"/>
      <c r="AD3" s="1179"/>
      <c r="AE3" s="1179"/>
      <c r="AF3" s="1179"/>
      <c r="AG3" s="1179"/>
      <c r="AH3" s="1179"/>
      <c r="AI3" s="1179"/>
      <c r="AJ3" s="1179"/>
      <c r="AK3" s="1179"/>
      <c r="AL3" s="1179"/>
      <c r="AM3" s="1179"/>
      <c r="AN3" s="1179"/>
      <c r="AO3" s="1179"/>
      <c r="AP3" s="1179"/>
      <c r="AQ3" s="1179"/>
      <c r="AR3" s="1179"/>
      <c r="AS3" s="1179"/>
    </row>
    <row r="4" spans="1:48">
      <c r="D4" s="21"/>
      <c r="E4" s="19"/>
      <c r="F4" s="20"/>
      <c r="G4" s="19"/>
      <c r="N4" s="16"/>
    </row>
    <row r="5" spans="1:48" ht="27.75" customHeight="1">
      <c r="D5" s="1180" t="s">
        <v>629</v>
      </c>
      <c r="E5" s="1180"/>
      <c r="F5" s="1180"/>
      <c r="G5" s="1180"/>
      <c r="N5" s="16"/>
    </row>
    <row r="6" spans="1:48" ht="13.8" thickBot="1">
      <c r="D6" s="19"/>
      <c r="E6" s="19"/>
      <c r="F6" s="22"/>
      <c r="G6" s="23" t="s">
        <v>630</v>
      </c>
    </row>
    <row r="7" spans="1:48" ht="55.8" thickBot="1">
      <c r="B7" s="70" t="s">
        <v>631</v>
      </c>
      <c r="D7" s="71" t="s">
        <v>632</v>
      </c>
      <c r="E7" s="68"/>
      <c r="F7" s="68"/>
      <c r="G7" s="69"/>
      <c r="I7" s="72" t="s">
        <v>633</v>
      </c>
      <c r="K7" s="72" t="s">
        <v>633</v>
      </c>
      <c r="M7" s="72" t="s">
        <v>634</v>
      </c>
      <c r="N7" s="24"/>
      <c r="O7" s="72" t="s">
        <v>635</v>
      </c>
      <c r="P7" s="25"/>
      <c r="Q7" s="72" t="s">
        <v>636</v>
      </c>
      <c r="S7" s="72" t="s">
        <v>637</v>
      </c>
      <c r="U7" s="72" t="s">
        <v>638</v>
      </c>
      <c r="W7" s="72" t="s">
        <v>639</v>
      </c>
      <c r="Y7" s="72" t="s">
        <v>640</v>
      </c>
      <c r="AA7" s="72" t="s">
        <v>640</v>
      </c>
      <c r="AC7" s="72" t="s">
        <v>641</v>
      </c>
      <c r="AE7" s="72" t="s">
        <v>642</v>
      </c>
      <c r="AG7" s="72" t="s">
        <v>643</v>
      </c>
      <c r="AI7" s="72" t="s">
        <v>644</v>
      </c>
      <c r="AK7" s="72" t="str">
        <f>D47</f>
        <v>Pente de la voie d'accès dans le sens de la circulation</v>
      </c>
      <c r="AM7" s="72" t="str">
        <f>D48</f>
        <v>Pente de la voie d'accès dans le sens transversal à la circulation</v>
      </c>
      <c r="AO7" s="72" t="str">
        <f>D49</f>
        <v>Largeur minimale de la voie d'accès au silo</v>
      </c>
      <c r="AQ7" s="72" t="str">
        <f>D50</f>
        <v>Hauteur de dégagement de la voie d'accès au silo</v>
      </c>
      <c r="AS7" s="72" t="s">
        <v>645</v>
      </c>
      <c r="AU7" s="72" t="s">
        <v>646</v>
      </c>
    </row>
    <row r="8" spans="1:48">
      <c r="B8" s="1177">
        <v>1</v>
      </c>
      <c r="D8" s="1182" t="s">
        <v>647</v>
      </c>
      <c r="E8" s="1183"/>
      <c r="F8" s="1183"/>
      <c r="G8" s="1184"/>
      <c r="I8" s="79" t="s">
        <v>648</v>
      </c>
      <c r="K8" s="79" t="s">
        <v>648</v>
      </c>
      <c r="M8" s="79" t="s">
        <v>648</v>
      </c>
      <c r="O8" s="79" t="s">
        <v>648</v>
      </c>
      <c r="P8" s="18"/>
      <c r="Q8" s="79" t="s">
        <v>648</v>
      </c>
      <c r="S8" s="79" t="s">
        <v>648</v>
      </c>
      <c r="U8" s="79" t="s">
        <v>648</v>
      </c>
      <c r="W8" s="79" t="s">
        <v>648</v>
      </c>
      <c r="Y8" s="79" t="s">
        <v>648</v>
      </c>
      <c r="AA8" s="79" t="s">
        <v>648</v>
      </c>
      <c r="AC8" s="79" t="s">
        <v>648</v>
      </c>
      <c r="AE8" s="79" t="s">
        <v>648</v>
      </c>
      <c r="AG8" s="79" t="s">
        <v>648</v>
      </c>
      <c r="AI8" s="79" t="s">
        <v>648</v>
      </c>
      <c r="AK8" s="79" t="s">
        <v>648</v>
      </c>
      <c r="AM8" s="79" t="s">
        <v>648</v>
      </c>
      <c r="AO8" s="79" t="s">
        <v>648</v>
      </c>
      <c r="AQ8" s="79" t="s">
        <v>648</v>
      </c>
      <c r="AS8" s="79" t="s">
        <v>649</v>
      </c>
      <c r="AU8" s="79" t="s">
        <v>648</v>
      </c>
    </row>
    <row r="9" spans="1:48" ht="13.8" thickBot="1">
      <c r="B9" s="1181"/>
      <c r="D9" s="1185" t="s">
        <v>650</v>
      </c>
      <c r="E9" s="1186"/>
      <c r="F9" s="1186"/>
      <c r="G9" s="1187"/>
      <c r="I9" s="79" t="s">
        <v>651</v>
      </c>
      <c r="K9" s="79" t="s">
        <v>651</v>
      </c>
      <c r="M9" s="79" t="s">
        <v>652</v>
      </c>
      <c r="O9" s="79" t="s">
        <v>39</v>
      </c>
      <c r="P9" s="18"/>
      <c r="Q9" s="79" t="s">
        <v>653</v>
      </c>
      <c r="S9" s="79" t="s">
        <v>654</v>
      </c>
      <c r="U9" s="79" t="s">
        <v>655</v>
      </c>
      <c r="W9" s="79" t="s">
        <v>656</v>
      </c>
      <c r="Y9" s="79" t="s">
        <v>657</v>
      </c>
      <c r="AA9" s="79">
        <v>10</v>
      </c>
      <c r="AC9" s="79" t="s">
        <v>658</v>
      </c>
      <c r="AE9" s="79" t="s">
        <v>659</v>
      </c>
      <c r="AG9" s="79" t="s">
        <v>660</v>
      </c>
      <c r="AI9" s="79" t="s">
        <v>661</v>
      </c>
      <c r="AK9" s="79" t="str">
        <f>CONCATENATE("&gt; ",F47," %")</f>
        <v>&gt; 10 %</v>
      </c>
      <c r="AM9" s="79" t="str">
        <f>CONCATENATE("&gt; ",F48," %")</f>
        <v>&gt; 2 %</v>
      </c>
      <c r="AO9" s="79" t="str">
        <f>CONCATENATE("&gt; ",F49," m")</f>
        <v>&gt; 4 m</v>
      </c>
      <c r="AQ9" s="79" t="str">
        <f>CONCATENATE("&gt; ",F50," m")</f>
        <v>&gt; 6 m</v>
      </c>
      <c r="AS9" s="79"/>
      <c r="AU9" s="79" t="s">
        <v>662</v>
      </c>
    </row>
    <row r="10" spans="1:48">
      <c r="B10" s="1177">
        <v>5</v>
      </c>
      <c r="D10" s="34" t="s">
        <v>663</v>
      </c>
      <c r="E10" s="35"/>
      <c r="F10" s="36">
        <v>0.85</v>
      </c>
      <c r="G10" s="37" t="s">
        <v>130</v>
      </c>
      <c r="I10" s="79" t="s">
        <v>664</v>
      </c>
      <c r="K10" s="79" t="s">
        <v>664</v>
      </c>
      <c r="M10" s="79" t="s">
        <v>665</v>
      </c>
      <c r="O10" s="79" t="s">
        <v>527</v>
      </c>
      <c r="P10" s="18"/>
      <c r="Q10" s="79" t="s">
        <v>666</v>
      </c>
      <c r="S10" s="79" t="s">
        <v>667</v>
      </c>
      <c r="U10" s="79" t="s">
        <v>668</v>
      </c>
      <c r="W10" s="79" t="s">
        <v>669</v>
      </c>
      <c r="Y10" s="79" t="s">
        <v>670</v>
      </c>
      <c r="AA10" s="79">
        <v>30</v>
      </c>
      <c r="AC10" s="79" t="s">
        <v>671</v>
      </c>
      <c r="AE10" s="80" t="s">
        <v>672</v>
      </c>
      <c r="AG10" s="79" t="s">
        <v>673</v>
      </c>
      <c r="AI10" s="79" t="s">
        <v>674</v>
      </c>
      <c r="AK10" s="79" t="str">
        <f>CONCATENATE("&lt; ",F47," %")</f>
        <v>&lt; 10 %</v>
      </c>
      <c r="AM10" s="79" t="str">
        <f>CONCATENATE("&lt; ",F48," %")</f>
        <v>&lt; 2 %</v>
      </c>
      <c r="AO10" s="79" t="str">
        <f>CONCATENATE("&lt; ",F49," m")</f>
        <v>&lt; 4 m</v>
      </c>
      <c r="AQ10" s="79" t="str">
        <f>CONCATENATE("&lt; ",F50," m")</f>
        <v>&lt; 6 m</v>
      </c>
      <c r="AU10" s="79" t="s">
        <v>675</v>
      </c>
    </row>
    <row r="11" spans="1:48" ht="13.8" thickBot="1">
      <c r="B11" s="1178"/>
      <c r="D11" s="38" t="s">
        <v>676</v>
      </c>
      <c r="E11" s="39"/>
      <c r="F11" s="40">
        <v>0.95</v>
      </c>
      <c r="G11" s="41" t="s">
        <v>130</v>
      </c>
      <c r="I11" s="79" t="s">
        <v>677</v>
      </c>
      <c r="K11" s="79" t="s">
        <v>677</v>
      </c>
      <c r="M11" s="79" t="s">
        <v>678</v>
      </c>
      <c r="O11" s="79" t="s">
        <v>679</v>
      </c>
      <c r="P11" s="18"/>
      <c r="Q11" s="79" t="s">
        <v>680</v>
      </c>
      <c r="R11" s="18"/>
      <c r="S11" s="79" t="s">
        <v>681</v>
      </c>
      <c r="T11" s="18"/>
      <c r="U11" s="79" t="s">
        <v>681</v>
      </c>
      <c r="W11" s="79" t="s">
        <v>682</v>
      </c>
      <c r="Y11" s="79" t="s">
        <v>683</v>
      </c>
      <c r="AA11" s="79">
        <v>60</v>
      </c>
      <c r="AC11" s="79" t="s">
        <v>684</v>
      </c>
      <c r="AE11" s="79" t="s">
        <v>685</v>
      </c>
      <c r="AG11" s="79" t="s">
        <v>686</v>
      </c>
      <c r="AI11" s="79" t="s">
        <v>625</v>
      </c>
      <c r="AK11" s="79" t="s">
        <v>679</v>
      </c>
      <c r="AM11" s="79" t="s">
        <v>679</v>
      </c>
      <c r="AO11" s="79" t="s">
        <v>679</v>
      </c>
      <c r="AU11" s="79" t="s">
        <v>687</v>
      </c>
    </row>
    <row r="12" spans="1:48" ht="13.8" thickBot="1">
      <c r="B12" s="26">
        <v>6</v>
      </c>
      <c r="D12" s="42" t="s">
        <v>688</v>
      </c>
      <c r="E12" s="43"/>
      <c r="F12" s="44">
        <v>15</v>
      </c>
      <c r="G12" s="45" t="s">
        <v>130</v>
      </c>
      <c r="I12" s="79" t="s">
        <v>689</v>
      </c>
      <c r="K12" s="79" t="s">
        <v>689</v>
      </c>
      <c r="M12" s="79" t="s">
        <v>690</v>
      </c>
      <c r="O12" s="18"/>
      <c r="P12" s="18"/>
      <c r="Q12" s="79" t="s">
        <v>625</v>
      </c>
      <c r="R12" s="18"/>
      <c r="S12" s="79" t="s">
        <v>691</v>
      </c>
      <c r="T12" s="18"/>
      <c r="U12" s="79" t="s">
        <v>691</v>
      </c>
      <c r="W12" s="79" t="s">
        <v>692</v>
      </c>
      <c r="Y12" s="79" t="s">
        <v>693</v>
      </c>
      <c r="AA12" s="79">
        <v>90</v>
      </c>
      <c r="AC12" s="79" t="s">
        <v>694</v>
      </c>
      <c r="AG12" s="79" t="s">
        <v>695</v>
      </c>
      <c r="AI12" s="79" t="s">
        <v>694</v>
      </c>
      <c r="AU12" s="79" t="s">
        <v>696</v>
      </c>
    </row>
    <row r="13" spans="1:48" ht="12.75" customHeight="1">
      <c r="B13" s="1177">
        <v>9</v>
      </c>
      <c r="D13" s="46" t="s">
        <v>697</v>
      </c>
      <c r="E13" s="47">
        <v>300</v>
      </c>
      <c r="F13" s="48" t="str">
        <f>M9</f>
        <v>C1 (P16/45 A et M 15/25-30)</v>
      </c>
      <c r="G13" s="49"/>
      <c r="M13" s="79" t="s">
        <v>698</v>
      </c>
      <c r="O13" s="18"/>
      <c r="P13" s="18"/>
      <c r="Q13" s="79" t="s">
        <v>694</v>
      </c>
      <c r="R13" s="18"/>
      <c r="S13" s="79" t="s">
        <v>610</v>
      </c>
      <c r="T13" s="18"/>
      <c r="U13" s="79" t="s">
        <v>610</v>
      </c>
      <c r="W13" s="79" t="s">
        <v>699</v>
      </c>
      <c r="Y13" s="79" t="s">
        <v>700</v>
      </c>
      <c r="AG13" s="79" t="s">
        <v>701</v>
      </c>
    </row>
    <row r="14" spans="1:48" ht="12.75" customHeight="1">
      <c r="B14" s="1178"/>
      <c r="D14" s="50" t="s">
        <v>697</v>
      </c>
      <c r="E14" s="51">
        <v>800</v>
      </c>
      <c r="F14" s="52" t="str">
        <f>M10</f>
        <v>C2 (P45/63 et M 30/40)</v>
      </c>
      <c r="G14" s="53"/>
      <c r="M14" s="79" t="s">
        <v>702</v>
      </c>
      <c r="O14" s="18"/>
      <c r="P14" s="18"/>
      <c r="Q14" s="18"/>
      <c r="R14" s="18"/>
      <c r="S14" s="18"/>
      <c r="T14" s="18"/>
      <c r="U14" s="18"/>
      <c r="Y14" s="80" t="s">
        <v>703</v>
      </c>
      <c r="AG14" s="79" t="s">
        <v>694</v>
      </c>
    </row>
    <row r="15" spans="1:48" ht="12.75" customHeight="1">
      <c r="B15" s="1178"/>
      <c r="D15" s="50" t="s">
        <v>697</v>
      </c>
      <c r="E15" s="51">
        <v>3000</v>
      </c>
      <c r="F15" s="52" t="str">
        <f t="shared" ref="F15:F18" si="0">M11</f>
        <v>C3 (P63/125 et M 35/45)</v>
      </c>
      <c r="G15" s="53"/>
      <c r="O15" s="18"/>
      <c r="P15" s="18"/>
      <c r="Q15" s="18"/>
      <c r="R15" s="18"/>
      <c r="S15" s="18"/>
      <c r="T15" s="18"/>
      <c r="U15" s="18"/>
      <c r="Y15" s="79" t="s">
        <v>610</v>
      </c>
    </row>
    <row r="16" spans="1:48" ht="12.75" customHeight="1">
      <c r="B16" s="1178"/>
      <c r="D16" s="50" t="s">
        <v>697</v>
      </c>
      <c r="E16" s="51">
        <v>5000</v>
      </c>
      <c r="F16" s="52" t="str">
        <f t="shared" si="0"/>
        <v>C4 (P100/200 et M10/20)</v>
      </c>
      <c r="G16" s="53"/>
      <c r="O16" s="18"/>
      <c r="P16" s="18"/>
      <c r="Q16" s="18"/>
      <c r="R16" s="18"/>
      <c r="S16" s="18"/>
      <c r="T16" s="18"/>
      <c r="U16" s="18"/>
    </row>
    <row r="17" spans="2:21" ht="12.75" customHeight="1">
      <c r="B17" s="1178"/>
      <c r="D17" s="50" t="s">
        <v>697</v>
      </c>
      <c r="E17" s="51">
        <v>15000</v>
      </c>
      <c r="F17" s="52" t="str">
        <f t="shared" si="0"/>
        <v>C5 (P100/200 et M40/55)</v>
      </c>
      <c r="G17" s="53"/>
      <c r="O17" s="18"/>
      <c r="P17" s="18"/>
      <c r="Q17" s="18"/>
      <c r="R17" s="18"/>
      <c r="S17" s="18"/>
      <c r="T17" s="18"/>
      <c r="U17" s="18"/>
    </row>
    <row r="18" spans="2:21" ht="27" thickBot="1">
      <c r="B18" s="1181"/>
      <c r="D18" s="54" t="s">
        <v>704</v>
      </c>
      <c r="E18" s="55">
        <v>15000</v>
      </c>
      <c r="F18" s="56" t="str">
        <f t="shared" si="0"/>
        <v>C6 (Spécifique forte puissance)</v>
      </c>
      <c r="G18" s="57"/>
      <c r="O18" s="18"/>
      <c r="P18" s="18"/>
      <c r="Q18" s="18"/>
      <c r="R18" s="18"/>
      <c r="S18" s="18"/>
      <c r="T18" s="18"/>
      <c r="U18" s="18"/>
    </row>
    <row r="19" spans="2:21" ht="13.8" thickBot="1">
      <c r="B19" s="27">
        <v>10</v>
      </c>
      <c r="D19" s="1192" t="s">
        <v>705</v>
      </c>
      <c r="E19" s="1193"/>
      <c r="F19" s="1194"/>
      <c r="G19" s="1195"/>
      <c r="M19" s="18"/>
      <c r="S19" s="18"/>
      <c r="T19" s="18"/>
      <c r="U19" s="18"/>
    </row>
    <row r="20" spans="2:21" ht="13.8" thickBot="1">
      <c r="B20" s="28">
        <v>12</v>
      </c>
      <c r="D20" s="1196" t="s">
        <v>706</v>
      </c>
      <c r="E20" s="1197"/>
      <c r="F20" s="58">
        <v>1.5</v>
      </c>
      <c r="G20" s="59" t="s">
        <v>707</v>
      </c>
      <c r="M20" s="18"/>
      <c r="S20" s="18"/>
      <c r="T20" s="18"/>
      <c r="U20" s="18"/>
    </row>
    <row r="21" spans="2:21" ht="15" thickBot="1">
      <c r="B21" s="28">
        <v>15</v>
      </c>
      <c r="D21" s="1192" t="s">
        <v>708</v>
      </c>
      <c r="E21" s="1193"/>
      <c r="F21" s="60">
        <v>0.5</v>
      </c>
      <c r="G21" s="61"/>
      <c r="M21" s="29"/>
    </row>
    <row r="22" spans="2:21">
      <c r="B22" s="1177">
        <v>16</v>
      </c>
      <c r="D22" s="34" t="s">
        <v>709</v>
      </c>
      <c r="E22" s="35"/>
      <c r="F22" s="58">
        <v>1500</v>
      </c>
      <c r="G22" s="37" t="s">
        <v>710</v>
      </c>
      <c r="M22" s="29"/>
    </row>
    <row r="23" spans="2:21" ht="13.8" thickBot="1">
      <c r="B23" s="1181"/>
      <c r="D23" s="38" t="s">
        <v>711</v>
      </c>
      <c r="E23" s="39"/>
      <c r="F23" s="62">
        <v>3000</v>
      </c>
      <c r="G23" s="41" t="s">
        <v>710</v>
      </c>
      <c r="M23" s="29"/>
    </row>
    <row r="24" spans="2:21" ht="13.8" thickBot="1">
      <c r="B24" s="27">
        <v>18</v>
      </c>
      <c r="D24" s="63" t="s">
        <v>712</v>
      </c>
      <c r="E24" s="64"/>
      <c r="F24" s="65">
        <f>15</f>
        <v>15</v>
      </c>
      <c r="G24" s="61" t="s">
        <v>713</v>
      </c>
      <c r="M24" s="29"/>
    </row>
    <row r="25" spans="2:21" ht="13.8" thickBot="1">
      <c r="D25" s="19"/>
      <c r="E25" s="19"/>
      <c r="F25" s="19"/>
      <c r="G25" s="19"/>
      <c r="M25" s="29"/>
    </row>
    <row r="26" spans="2:21" ht="14.4" thickBot="1">
      <c r="D26" s="67" t="s">
        <v>714</v>
      </c>
      <c r="E26" s="68"/>
      <c r="F26" s="68"/>
      <c r="G26" s="69"/>
    </row>
    <row r="27" spans="2:21" ht="13.8" thickBot="1">
      <c r="B27" s="30">
        <v>26</v>
      </c>
      <c r="D27" s="1192" t="s">
        <v>715</v>
      </c>
      <c r="E27" s="1193"/>
      <c r="F27" s="65">
        <v>10</v>
      </c>
      <c r="G27" s="61" t="s">
        <v>130</v>
      </c>
    </row>
    <row r="28" spans="2:21">
      <c r="B28" s="1177">
        <v>48</v>
      </c>
      <c r="D28" s="1204" t="s">
        <v>716</v>
      </c>
      <c r="E28" s="1205"/>
      <c r="F28" s="1198">
        <v>5</v>
      </c>
      <c r="G28" s="1199"/>
    </row>
    <row r="29" spans="2:21">
      <c r="B29" s="1178"/>
      <c r="D29" s="1200" t="s">
        <v>717</v>
      </c>
      <c r="E29" s="1201"/>
      <c r="F29" s="1202">
        <v>15</v>
      </c>
      <c r="G29" s="1203"/>
    </row>
    <row r="30" spans="2:21">
      <c r="B30" s="1178"/>
      <c r="D30" s="1200" t="s">
        <v>718</v>
      </c>
      <c r="E30" s="1201"/>
      <c r="F30" s="1202">
        <v>20</v>
      </c>
      <c r="G30" s="1203"/>
    </row>
    <row r="31" spans="2:21" ht="13.8" thickBot="1">
      <c r="B31" s="1181"/>
      <c r="D31" s="1188" t="s">
        <v>719</v>
      </c>
      <c r="E31" s="1189"/>
      <c r="F31" s="1190" t="s">
        <v>720</v>
      </c>
      <c r="G31" s="1191"/>
    </row>
    <row r="32" spans="2:21" ht="13.8" thickBot="1"/>
    <row r="33" spans="2:48">
      <c r="B33" s="1177">
        <v>28</v>
      </c>
      <c r="D33" s="1206" t="s">
        <v>721</v>
      </c>
      <c r="E33" s="1207"/>
      <c r="F33" s="1207"/>
      <c r="G33" s="1210"/>
      <c r="H33" s="31"/>
      <c r="I33" s="31"/>
      <c r="J33" s="31"/>
      <c r="K33" s="31"/>
      <c r="L33" s="31"/>
      <c r="M33" s="31"/>
      <c r="N33" s="31"/>
      <c r="O33" s="31"/>
      <c r="P33" s="31"/>
      <c r="Q33" s="31"/>
      <c r="R33" s="31"/>
      <c r="V33" s="31"/>
      <c r="X33" s="31"/>
      <c r="Y33" s="31"/>
      <c r="Z33" s="31"/>
      <c r="AA33" s="31"/>
      <c r="AB33" s="31"/>
      <c r="AC33" s="31"/>
      <c r="AD33" s="31"/>
      <c r="AE33" s="31"/>
      <c r="AF33" s="31"/>
      <c r="AH33" s="31"/>
      <c r="AI33" s="31"/>
      <c r="AJ33" s="31"/>
      <c r="AK33" s="31"/>
      <c r="AL33" s="31"/>
      <c r="AM33" s="31"/>
      <c r="AN33" s="31"/>
      <c r="AO33" s="31"/>
      <c r="AP33" s="31"/>
      <c r="AQ33" s="31"/>
      <c r="AR33" s="31"/>
      <c r="AS33" s="31"/>
      <c r="AT33" s="31"/>
      <c r="AV33" s="31"/>
    </row>
    <row r="34" spans="2:48" ht="13.8" thickBot="1">
      <c r="B34" s="1181"/>
      <c r="D34" s="1188" t="s">
        <v>722</v>
      </c>
      <c r="E34" s="1189"/>
      <c r="F34" s="73">
        <v>6</v>
      </c>
      <c r="G34" s="74" t="s">
        <v>77</v>
      </c>
      <c r="H34" s="31"/>
      <c r="I34" s="31"/>
      <c r="J34" s="31"/>
      <c r="K34" s="31"/>
      <c r="L34" s="31"/>
      <c r="M34" s="31"/>
      <c r="N34" s="31"/>
      <c r="O34" s="31"/>
      <c r="P34" s="31"/>
      <c r="Q34" s="31"/>
      <c r="R34" s="31"/>
      <c r="V34" s="31"/>
      <c r="W34" s="31"/>
      <c r="X34" s="31"/>
      <c r="Y34" s="31"/>
      <c r="Z34" s="31"/>
      <c r="AA34" s="31"/>
      <c r="AB34" s="31"/>
      <c r="AC34" s="31"/>
      <c r="AD34" s="31"/>
      <c r="AE34" s="31"/>
      <c r="AF34" s="31"/>
      <c r="AH34" s="31"/>
      <c r="AI34" s="31"/>
      <c r="AJ34" s="31"/>
      <c r="AK34" s="31"/>
      <c r="AL34" s="31"/>
      <c r="AM34" s="31"/>
      <c r="AN34" s="31"/>
      <c r="AO34" s="31"/>
      <c r="AP34" s="31"/>
      <c r="AQ34" s="31"/>
      <c r="AR34" s="31"/>
      <c r="AS34" s="31"/>
      <c r="AT34" s="31"/>
      <c r="AV34" s="31"/>
    </row>
    <row r="35" spans="2:48" ht="13.8" thickBot="1">
      <c r="D35" s="19"/>
      <c r="E35" s="19"/>
      <c r="F35" s="19"/>
      <c r="G35" s="19"/>
      <c r="H35" s="31"/>
      <c r="I35" s="31"/>
      <c r="J35" s="31"/>
      <c r="K35" s="31"/>
      <c r="L35" s="31"/>
      <c r="M35" s="31"/>
      <c r="N35" s="31"/>
      <c r="O35" s="31"/>
      <c r="P35" s="31"/>
      <c r="Q35" s="31"/>
      <c r="R35" s="31"/>
      <c r="V35" s="31"/>
      <c r="W35" s="31"/>
      <c r="X35" s="31"/>
      <c r="Y35" s="31"/>
      <c r="Z35" s="31"/>
      <c r="AA35" s="31"/>
      <c r="AB35" s="31"/>
      <c r="AC35" s="31"/>
      <c r="AD35" s="31"/>
      <c r="AE35" s="31"/>
      <c r="AF35" s="31"/>
      <c r="AH35" s="31"/>
      <c r="AI35" s="31"/>
      <c r="AJ35" s="31"/>
      <c r="AK35" s="31"/>
      <c r="AL35" s="31"/>
      <c r="AM35" s="31"/>
      <c r="AN35" s="31"/>
      <c r="AO35" s="31"/>
      <c r="AP35" s="31"/>
      <c r="AQ35" s="31"/>
      <c r="AR35" s="31"/>
      <c r="AS35" s="31"/>
      <c r="AT35" s="31"/>
      <c r="AV35" s="31"/>
    </row>
    <row r="36" spans="2:48" ht="14.4" thickBot="1">
      <c r="D36" s="67" t="s">
        <v>723</v>
      </c>
      <c r="E36" s="68"/>
      <c r="F36" s="68"/>
      <c r="G36" s="69"/>
      <c r="H36" s="32"/>
      <c r="I36" s="32"/>
      <c r="J36" s="32"/>
      <c r="K36" s="32"/>
      <c r="L36" s="32"/>
      <c r="M36" s="32"/>
      <c r="N36" s="32"/>
      <c r="O36" s="32"/>
      <c r="P36" s="32"/>
      <c r="Q36" s="32"/>
      <c r="R36" s="32"/>
      <c r="V36" s="32"/>
      <c r="W36" s="31"/>
      <c r="X36" s="32"/>
      <c r="Y36" s="32"/>
      <c r="Z36" s="32"/>
      <c r="AA36" s="32"/>
      <c r="AB36" s="32"/>
      <c r="AC36" s="32"/>
      <c r="AD36" s="32"/>
      <c r="AE36" s="32"/>
      <c r="AF36" s="32"/>
      <c r="AG36" s="31"/>
      <c r="AH36" s="32"/>
      <c r="AI36" s="32"/>
      <c r="AJ36" s="32"/>
      <c r="AK36" s="32"/>
      <c r="AL36" s="32"/>
      <c r="AM36" s="32"/>
      <c r="AN36" s="32"/>
      <c r="AO36" s="32"/>
      <c r="AP36" s="32"/>
      <c r="AQ36" s="32"/>
      <c r="AR36" s="32"/>
      <c r="AS36" s="32"/>
      <c r="AT36" s="32"/>
      <c r="AU36" s="31"/>
      <c r="AV36" s="32"/>
    </row>
    <row r="37" spans="2:48" ht="13.8" thickBot="1">
      <c r="B37" s="27">
        <v>36</v>
      </c>
      <c r="D37" s="1192" t="s">
        <v>724</v>
      </c>
      <c r="E37" s="1193"/>
      <c r="F37" s="65">
        <v>2</v>
      </c>
      <c r="G37" s="61" t="s">
        <v>150</v>
      </c>
      <c r="H37" s="32"/>
      <c r="I37" s="32"/>
      <c r="J37" s="32"/>
      <c r="K37" s="32"/>
      <c r="L37" s="32"/>
      <c r="M37" s="32"/>
      <c r="N37" s="32"/>
      <c r="O37" s="32"/>
      <c r="P37" s="32"/>
      <c r="Q37" s="32"/>
      <c r="R37" s="32"/>
      <c r="V37" s="32"/>
      <c r="W37" s="32"/>
      <c r="X37" s="32"/>
      <c r="Y37" s="32"/>
      <c r="Z37" s="32"/>
      <c r="AA37" s="32"/>
      <c r="AB37" s="32"/>
      <c r="AC37" s="32"/>
      <c r="AD37" s="32"/>
      <c r="AE37" s="32"/>
      <c r="AF37" s="32"/>
      <c r="AG37" s="31"/>
      <c r="AH37" s="32"/>
      <c r="AI37" s="32"/>
      <c r="AJ37" s="32"/>
      <c r="AK37" s="32"/>
      <c r="AL37" s="32"/>
      <c r="AM37" s="32"/>
      <c r="AN37" s="32"/>
      <c r="AO37" s="32"/>
      <c r="AP37" s="32"/>
      <c r="AQ37" s="32"/>
      <c r="AR37" s="32"/>
      <c r="AS37" s="32"/>
      <c r="AT37" s="32"/>
      <c r="AU37" s="31"/>
      <c r="AV37" s="32"/>
    </row>
    <row r="38" spans="2:48" ht="13.8" thickBot="1">
      <c r="B38" s="27">
        <v>37</v>
      </c>
      <c r="D38" s="1192" t="s">
        <v>725</v>
      </c>
      <c r="E38" s="1193"/>
      <c r="F38" s="65">
        <v>3</v>
      </c>
      <c r="G38" s="61" t="s">
        <v>150</v>
      </c>
      <c r="H38" s="32"/>
      <c r="I38" s="32"/>
      <c r="J38" s="32"/>
      <c r="K38" s="32"/>
      <c r="L38" s="32"/>
      <c r="M38" s="32"/>
      <c r="N38" s="32"/>
      <c r="O38" s="32"/>
      <c r="P38" s="32"/>
      <c r="Q38" s="32"/>
      <c r="R38" s="32"/>
      <c r="V38" s="32"/>
      <c r="W38" s="32"/>
      <c r="X38" s="32"/>
      <c r="Y38" s="32"/>
      <c r="Z38" s="32"/>
      <c r="AA38" s="32"/>
      <c r="AB38" s="32"/>
      <c r="AC38" s="32"/>
      <c r="AD38" s="32"/>
      <c r="AE38" s="32"/>
      <c r="AF38" s="32"/>
      <c r="AG38" s="31"/>
      <c r="AH38" s="32"/>
      <c r="AI38" s="32"/>
      <c r="AJ38" s="32"/>
      <c r="AK38" s="32"/>
      <c r="AL38" s="32"/>
      <c r="AM38" s="32"/>
      <c r="AN38" s="32"/>
      <c r="AO38" s="32"/>
      <c r="AP38" s="32"/>
      <c r="AQ38" s="32"/>
      <c r="AR38" s="32"/>
      <c r="AS38" s="32"/>
      <c r="AT38" s="32"/>
      <c r="AU38" s="31"/>
      <c r="AV38" s="32"/>
    </row>
    <row r="39" spans="2:48">
      <c r="B39" s="1177">
        <v>40</v>
      </c>
      <c r="D39" s="1206" t="s">
        <v>726</v>
      </c>
      <c r="E39" s="1207"/>
      <c r="F39" s="75">
        <v>10</v>
      </c>
      <c r="G39" s="76" t="s">
        <v>727</v>
      </c>
      <c r="H39" s="32"/>
      <c r="I39" s="32"/>
      <c r="J39" s="32"/>
      <c r="K39" s="32"/>
      <c r="L39" s="32"/>
      <c r="M39" s="32"/>
      <c r="N39" s="32"/>
      <c r="O39" s="32"/>
      <c r="P39" s="32"/>
      <c r="Q39" s="32"/>
      <c r="R39" s="32"/>
      <c r="V39" s="32"/>
      <c r="W39" s="32"/>
      <c r="X39" s="32"/>
      <c r="Y39" s="32"/>
      <c r="Z39" s="32"/>
      <c r="AA39" s="32"/>
      <c r="AB39" s="32"/>
      <c r="AC39" s="32"/>
      <c r="AD39" s="32"/>
      <c r="AE39" s="32"/>
      <c r="AF39" s="32"/>
      <c r="AG39" s="31"/>
      <c r="AH39" s="32"/>
      <c r="AI39" s="32"/>
      <c r="AJ39" s="32"/>
      <c r="AK39" s="32"/>
      <c r="AL39" s="32"/>
      <c r="AM39" s="32"/>
      <c r="AN39" s="32"/>
      <c r="AO39" s="32"/>
      <c r="AP39" s="32"/>
      <c r="AQ39" s="32"/>
      <c r="AR39" s="32"/>
      <c r="AS39" s="32"/>
      <c r="AT39" s="32"/>
      <c r="AU39" s="31"/>
      <c r="AV39" s="32"/>
    </row>
    <row r="40" spans="2:48" ht="13.8" thickBot="1">
      <c r="B40" s="1181"/>
      <c r="D40" s="1208" t="s">
        <v>728</v>
      </c>
      <c r="E40" s="1209"/>
      <c r="F40" s="77">
        <v>25</v>
      </c>
      <c r="G40" s="78" t="s">
        <v>727</v>
      </c>
      <c r="H40" s="32"/>
      <c r="I40" s="32"/>
      <c r="J40" s="32"/>
      <c r="K40" s="32"/>
      <c r="L40" s="32"/>
      <c r="M40" s="32"/>
      <c r="N40" s="32"/>
      <c r="O40" s="32"/>
      <c r="P40" s="32"/>
      <c r="Q40" s="32"/>
      <c r="R40" s="32"/>
      <c r="V40" s="32"/>
      <c r="W40" s="32"/>
      <c r="X40" s="32"/>
      <c r="Y40" s="32"/>
      <c r="Z40" s="32"/>
      <c r="AA40" s="32"/>
      <c r="AB40" s="32"/>
      <c r="AC40" s="32"/>
      <c r="AD40" s="32"/>
      <c r="AE40" s="32"/>
      <c r="AF40" s="32"/>
      <c r="AG40" s="31"/>
      <c r="AH40" s="32"/>
      <c r="AI40" s="32"/>
      <c r="AJ40" s="32"/>
      <c r="AK40" s="32"/>
      <c r="AL40" s="32"/>
      <c r="AM40" s="32"/>
      <c r="AN40" s="32"/>
      <c r="AO40" s="32"/>
      <c r="AP40" s="32"/>
      <c r="AQ40" s="32"/>
      <c r="AR40" s="32"/>
      <c r="AS40" s="32"/>
      <c r="AT40" s="32"/>
      <c r="AU40" s="31"/>
      <c r="AV40" s="32"/>
    </row>
    <row r="41" spans="2:48" ht="13.8" thickBot="1">
      <c r="B41" s="27">
        <v>44</v>
      </c>
      <c r="D41" s="1192" t="s">
        <v>729</v>
      </c>
      <c r="E41" s="1193"/>
      <c r="F41" s="65">
        <v>70</v>
      </c>
      <c r="G41" s="61" t="s">
        <v>130</v>
      </c>
      <c r="W41" s="32"/>
      <c r="AG41" s="32"/>
      <c r="AU41" s="32"/>
    </row>
    <row r="42" spans="2:48" ht="13.8" thickBot="1">
      <c r="B42" s="27">
        <v>45</v>
      </c>
      <c r="D42" s="1192" t="s">
        <v>730</v>
      </c>
      <c r="E42" s="1193"/>
      <c r="F42" s="65">
        <v>5</v>
      </c>
      <c r="G42" s="61" t="s">
        <v>150</v>
      </c>
      <c r="S42" s="31"/>
      <c r="T42" s="31"/>
      <c r="U42" s="31"/>
    </row>
    <row r="43" spans="2:48" ht="13.8" thickBot="1">
      <c r="B43" s="27">
        <v>50</v>
      </c>
      <c r="D43" s="1192" t="s">
        <v>731</v>
      </c>
      <c r="E43" s="1193"/>
      <c r="F43" s="65">
        <v>4</v>
      </c>
      <c r="G43" s="61" t="s">
        <v>732</v>
      </c>
      <c r="S43" s="31"/>
      <c r="T43" s="31"/>
      <c r="U43" s="31"/>
    </row>
    <row r="44" spans="2:48" ht="13.8" thickBot="1">
      <c r="B44" s="27">
        <v>57</v>
      </c>
      <c r="D44" s="1192" t="s">
        <v>733</v>
      </c>
      <c r="E44" s="1193"/>
      <c r="F44" s="65">
        <v>30</v>
      </c>
      <c r="G44" s="61" t="s">
        <v>734</v>
      </c>
      <c r="S44" s="31"/>
      <c r="T44" s="31"/>
      <c r="U44" s="31"/>
    </row>
    <row r="45" spans="2:48" ht="13.8" thickBot="1">
      <c r="D45" s="19"/>
      <c r="E45" s="19"/>
      <c r="F45" s="19"/>
      <c r="G45" s="19"/>
      <c r="S45" s="32"/>
      <c r="T45" s="32"/>
      <c r="U45" s="32"/>
    </row>
    <row r="46" spans="2:48" ht="14.4" thickBot="1">
      <c r="D46" s="67" t="s">
        <v>735</v>
      </c>
      <c r="E46" s="68"/>
      <c r="F46" s="68"/>
      <c r="G46" s="69"/>
    </row>
    <row r="47" spans="2:48" ht="13.8" thickBot="1">
      <c r="B47" s="27">
        <v>59</v>
      </c>
      <c r="D47" s="1192" t="s">
        <v>736</v>
      </c>
      <c r="E47" s="1193"/>
      <c r="F47" s="65">
        <v>10</v>
      </c>
      <c r="G47" s="61" t="s">
        <v>130</v>
      </c>
    </row>
    <row r="48" spans="2:48" ht="13.8" thickBot="1">
      <c r="B48" s="27">
        <v>60</v>
      </c>
      <c r="D48" s="1192" t="s">
        <v>737</v>
      </c>
      <c r="E48" s="1193"/>
      <c r="F48" s="65">
        <v>2</v>
      </c>
      <c r="G48" s="61" t="s">
        <v>130</v>
      </c>
    </row>
    <row r="49" spans="2:8" ht="13.8" thickBot="1">
      <c r="B49" s="27">
        <v>62</v>
      </c>
      <c r="D49" s="1192" t="s">
        <v>738</v>
      </c>
      <c r="E49" s="1193"/>
      <c r="F49" s="65">
        <v>4</v>
      </c>
      <c r="G49" s="61" t="s">
        <v>150</v>
      </c>
    </row>
    <row r="50" spans="2:8" ht="13.8" thickBot="1">
      <c r="B50" s="27">
        <v>63</v>
      </c>
      <c r="D50" s="1192" t="s">
        <v>739</v>
      </c>
      <c r="E50" s="1193"/>
      <c r="F50" s="65">
        <v>6</v>
      </c>
      <c r="G50" s="61" t="s">
        <v>150</v>
      </c>
    </row>
    <row r="51" spans="2:8" ht="13.8" thickBot="1">
      <c r="D51" s="33"/>
      <c r="E51" s="33"/>
      <c r="F51" s="20"/>
      <c r="G51" s="19"/>
    </row>
    <row r="52" spans="2:8" ht="14.4" thickBot="1">
      <c r="D52" s="67" t="s">
        <v>740</v>
      </c>
      <c r="E52" s="68"/>
      <c r="F52" s="68"/>
      <c r="G52" s="69"/>
    </row>
    <row r="53" spans="2:8">
      <c r="B53" s="1177">
        <v>80</v>
      </c>
      <c r="D53" s="1206" t="s">
        <v>741</v>
      </c>
      <c r="E53" s="1207"/>
      <c r="F53" s="75">
        <v>80</v>
      </c>
      <c r="G53" s="76" t="s">
        <v>742</v>
      </c>
    </row>
    <row r="54" spans="2:8" ht="13.8" thickBot="1">
      <c r="B54" s="1181"/>
      <c r="D54" s="1208" t="s">
        <v>743</v>
      </c>
      <c r="E54" s="1209"/>
      <c r="F54" s="77">
        <v>120</v>
      </c>
      <c r="G54" s="78" t="s">
        <v>742</v>
      </c>
    </row>
    <row r="56" spans="2:8" ht="14.55" customHeight="1">
      <c r="D56" s="1176" t="s">
        <v>744</v>
      </c>
      <c r="E56" s="1176"/>
      <c r="F56" s="1176"/>
      <c r="G56" s="1176"/>
    </row>
    <row r="57" spans="2:8" ht="13.05" customHeight="1">
      <c r="D57" s="1176"/>
      <c r="E57" s="1176"/>
      <c r="F57" s="1176"/>
      <c r="G57" s="1176"/>
    </row>
    <row r="58" spans="2:8" ht="13.8" thickBot="1">
      <c r="D58" s="21"/>
      <c r="E58" s="19"/>
      <c r="F58" s="20"/>
      <c r="G58" s="19"/>
    </row>
    <row r="59" spans="2:8" ht="14.4" thickBot="1">
      <c r="D59" s="71" t="s">
        <v>745</v>
      </c>
      <c r="E59" s="68"/>
      <c r="F59" s="68"/>
      <c r="G59" s="68"/>
      <c r="H59" s="69"/>
    </row>
    <row r="60" spans="2:8" ht="14.55" customHeight="1">
      <c r="D60" s="286" t="s">
        <v>746</v>
      </c>
      <c r="E60" s="287" t="s">
        <v>747</v>
      </c>
      <c r="F60" s="1170" t="s">
        <v>748</v>
      </c>
      <c r="G60" s="1171"/>
      <c r="H60" s="286">
        <v>9</v>
      </c>
    </row>
    <row r="61" spans="2:8" ht="14.4">
      <c r="D61" s="285" t="s">
        <v>749</v>
      </c>
      <c r="E61" s="285" t="s">
        <v>750</v>
      </c>
      <c r="F61" s="285" t="s">
        <v>751</v>
      </c>
      <c r="G61" s="285" t="s">
        <v>752</v>
      </c>
      <c r="H61" s="285" t="s">
        <v>753</v>
      </c>
    </row>
    <row r="62" spans="2:8" ht="14.4">
      <c r="D62" s="285" t="s">
        <v>754</v>
      </c>
      <c r="E62" s="285">
        <v>6</v>
      </c>
      <c r="F62" s="285">
        <v>9</v>
      </c>
      <c r="G62" s="285">
        <v>12</v>
      </c>
      <c r="H62" s="285">
        <v>15</v>
      </c>
    </row>
    <row r="63" spans="2:8" ht="14.4">
      <c r="D63" s="285" t="s">
        <v>755</v>
      </c>
      <c r="E63" s="285">
        <v>3</v>
      </c>
      <c r="F63" s="285">
        <v>0</v>
      </c>
      <c r="G63" s="285">
        <v>-3</v>
      </c>
      <c r="H63" s="285">
        <v>-6</v>
      </c>
    </row>
    <row r="64" spans="2:8" ht="14.55" customHeight="1">
      <c r="D64" s="286" t="s">
        <v>746</v>
      </c>
      <c r="E64" s="287" t="s">
        <v>756</v>
      </c>
      <c r="F64" s="1172" t="s">
        <v>748</v>
      </c>
      <c r="G64" s="1173"/>
      <c r="H64" s="286">
        <v>11</v>
      </c>
    </row>
    <row r="65" spans="4:16" ht="14.55" customHeight="1">
      <c r="D65" s="285" t="s">
        <v>749</v>
      </c>
      <c r="E65" s="285" t="s">
        <v>750</v>
      </c>
      <c r="F65" s="1174" t="s">
        <v>751</v>
      </c>
      <c r="G65" s="1175" t="s">
        <v>752</v>
      </c>
      <c r="H65" s="285" t="s">
        <v>753</v>
      </c>
    </row>
    <row r="66" spans="4:16" ht="14.4">
      <c r="D66" s="285" t="s">
        <v>754</v>
      </c>
      <c r="E66" s="285">
        <v>7.5</v>
      </c>
      <c r="F66" s="285">
        <v>11</v>
      </c>
      <c r="G66" s="285">
        <v>14.5</v>
      </c>
      <c r="H66" s="285">
        <v>18</v>
      </c>
    </row>
    <row r="67" spans="4:16" ht="14.4">
      <c r="D67" s="285" t="s">
        <v>755</v>
      </c>
      <c r="E67" s="285">
        <v>3.5</v>
      </c>
      <c r="F67" s="285">
        <v>0</v>
      </c>
      <c r="G67" s="285">
        <v>-3.5</v>
      </c>
      <c r="H67" s="285">
        <v>-7</v>
      </c>
    </row>
    <row r="68" spans="4:16" ht="14.55" customHeight="1">
      <c r="D68" s="286" t="s">
        <v>746</v>
      </c>
      <c r="E68" s="288" t="s">
        <v>757</v>
      </c>
      <c r="F68" s="1172" t="s">
        <v>748</v>
      </c>
      <c r="G68" s="1173"/>
      <c r="H68" s="286">
        <v>13</v>
      </c>
    </row>
    <row r="69" spans="4:16" ht="14.4">
      <c r="D69" s="285" t="s">
        <v>749</v>
      </c>
      <c r="E69" s="285" t="s">
        <v>750</v>
      </c>
      <c r="F69" s="285" t="s">
        <v>751</v>
      </c>
      <c r="G69" s="285" t="s">
        <v>752</v>
      </c>
      <c r="H69" s="285" t="s">
        <v>753</v>
      </c>
    </row>
    <row r="70" spans="4:16" ht="14.4">
      <c r="D70" s="285" t="s">
        <v>754</v>
      </c>
      <c r="E70" s="285">
        <v>8.5</v>
      </c>
      <c r="F70" s="285">
        <v>13</v>
      </c>
      <c r="G70" s="285">
        <v>17.5</v>
      </c>
      <c r="H70" s="285">
        <v>20</v>
      </c>
    </row>
    <row r="71" spans="4:16" ht="14.4">
      <c r="D71" s="285" t="s">
        <v>755</v>
      </c>
      <c r="E71" s="285">
        <v>4.5</v>
      </c>
      <c r="F71" s="285">
        <v>0</v>
      </c>
      <c r="G71" s="285">
        <v>-4.5</v>
      </c>
      <c r="H71" s="285">
        <v>-9</v>
      </c>
    </row>
    <row r="72" spans="4:16" ht="13.8" thickBot="1"/>
    <row r="73" spans="4:16" ht="14.4" thickBot="1">
      <c r="D73" s="71" t="s">
        <v>758</v>
      </c>
      <c r="E73" s="68"/>
      <c r="F73" s="68"/>
      <c r="G73" s="68"/>
      <c r="H73" s="69"/>
    </row>
    <row r="74" spans="4:16" ht="14.4">
      <c r="D74" s="292"/>
      <c r="E74" s="292"/>
      <c r="F74" s="292" t="s">
        <v>606</v>
      </c>
      <c r="G74" s="292" t="s">
        <v>609</v>
      </c>
      <c r="H74" s="292" t="s">
        <v>65</v>
      </c>
      <c r="I74" s="292" t="s">
        <v>612</v>
      </c>
      <c r="J74" t="s">
        <v>613</v>
      </c>
      <c r="K74" t="s">
        <v>614</v>
      </c>
      <c r="L74" t="s">
        <v>615</v>
      </c>
      <c r="M74" t="s">
        <v>617</v>
      </c>
      <c r="N74" t="s">
        <v>68</v>
      </c>
      <c r="O74" t="s">
        <v>623</v>
      </c>
      <c r="P74" t="s">
        <v>624</v>
      </c>
    </row>
    <row r="75" spans="4:16">
      <c r="D75" s="292">
        <v>1</v>
      </c>
      <c r="E75" s="292">
        <v>2</v>
      </c>
      <c r="F75" s="292">
        <v>3</v>
      </c>
      <c r="G75" s="292">
        <v>4</v>
      </c>
      <c r="H75" s="292">
        <v>5</v>
      </c>
      <c r="I75" s="292">
        <v>6</v>
      </c>
      <c r="J75" s="292">
        <v>7</v>
      </c>
      <c r="K75" s="292">
        <v>8</v>
      </c>
      <c r="L75" s="292">
        <v>9</v>
      </c>
      <c r="M75" s="292">
        <v>10</v>
      </c>
      <c r="N75" s="292">
        <v>11</v>
      </c>
      <c r="O75" s="292">
        <v>12</v>
      </c>
      <c r="P75" s="292">
        <v>13</v>
      </c>
    </row>
    <row r="76" spans="4:16" ht="61.2">
      <c r="D76" s="289" t="s">
        <v>759</v>
      </c>
      <c r="E76" s="289" t="s">
        <v>760</v>
      </c>
      <c r="F76" s="290" t="s">
        <v>606</v>
      </c>
      <c r="G76" s="290" t="s">
        <v>609</v>
      </c>
      <c r="H76" s="290" t="s">
        <v>65</v>
      </c>
      <c r="I76" s="290" t="s">
        <v>612</v>
      </c>
      <c r="J76" s="290" t="s">
        <v>613</v>
      </c>
      <c r="K76" s="290" t="s">
        <v>614</v>
      </c>
      <c r="L76" s="290" t="s">
        <v>615</v>
      </c>
      <c r="M76" s="290" t="s">
        <v>617</v>
      </c>
      <c r="N76" s="290" t="s">
        <v>761</v>
      </c>
      <c r="O76" s="290" t="s">
        <v>762</v>
      </c>
      <c r="P76" s="290" t="s">
        <v>763</v>
      </c>
    </row>
    <row r="77" spans="4:16" ht="14.4">
      <c r="D77" s="285" t="s">
        <v>522</v>
      </c>
      <c r="E77" s="285">
        <v>85</v>
      </c>
      <c r="F77" s="285">
        <v>1.2</v>
      </c>
      <c r="G77" s="285">
        <v>1.3</v>
      </c>
      <c r="H77" s="285">
        <v>1.2</v>
      </c>
      <c r="I77" s="285">
        <v>1.1000000000000001</v>
      </c>
      <c r="J77" s="285">
        <v>1</v>
      </c>
      <c r="K77" s="285">
        <v>1</v>
      </c>
      <c r="L77" s="285">
        <v>0.9</v>
      </c>
      <c r="M77" s="285">
        <v>0.7</v>
      </c>
      <c r="N77" s="285">
        <v>0</v>
      </c>
      <c r="O77" s="285">
        <v>0.1</v>
      </c>
      <c r="P77" s="285">
        <v>0.2</v>
      </c>
    </row>
    <row r="78" spans="4:16" ht="14.4">
      <c r="D78" s="285" t="s">
        <v>536</v>
      </c>
      <c r="E78" s="285">
        <v>85</v>
      </c>
      <c r="F78" s="285">
        <v>1.2</v>
      </c>
      <c r="G78" s="285">
        <v>1.3</v>
      </c>
      <c r="H78" s="285">
        <v>1.2</v>
      </c>
      <c r="I78" s="285">
        <v>1.1000000000000001</v>
      </c>
      <c r="J78" s="285">
        <v>1</v>
      </c>
      <c r="K78" s="285">
        <v>1</v>
      </c>
      <c r="L78" s="285">
        <v>0.9</v>
      </c>
      <c r="M78" s="285">
        <v>0.7</v>
      </c>
      <c r="N78" s="285">
        <v>0</v>
      </c>
      <c r="O78" s="285">
        <v>0.1</v>
      </c>
      <c r="P78" s="285">
        <v>0.2</v>
      </c>
    </row>
    <row r="79" spans="4:16" ht="14.4">
      <c r="D79" s="285" t="s">
        <v>551</v>
      </c>
      <c r="E79" s="285">
        <v>95</v>
      </c>
      <c r="F79" s="285">
        <v>1.1000000000000001</v>
      </c>
      <c r="G79" s="285">
        <v>1.3</v>
      </c>
      <c r="H79" s="285">
        <v>1.2</v>
      </c>
      <c r="I79" s="285">
        <v>1.1000000000000001</v>
      </c>
      <c r="J79" s="285">
        <v>1</v>
      </c>
      <c r="K79" s="285">
        <v>1</v>
      </c>
      <c r="L79" s="285">
        <v>0.9</v>
      </c>
      <c r="M79" s="285">
        <v>0.8</v>
      </c>
      <c r="N79" s="285">
        <v>0</v>
      </c>
      <c r="O79" s="285">
        <v>0.3</v>
      </c>
      <c r="P79" s="285">
        <v>0.5</v>
      </c>
    </row>
    <row r="80" spans="4:16" ht="14.4">
      <c r="D80" s="285" t="s">
        <v>558</v>
      </c>
      <c r="E80" s="285">
        <v>74</v>
      </c>
      <c r="F80" s="285">
        <v>1</v>
      </c>
      <c r="G80" s="285">
        <v>1.1000000000000001</v>
      </c>
      <c r="H80" s="285">
        <v>1</v>
      </c>
      <c r="I80" s="285">
        <v>1</v>
      </c>
      <c r="J80" s="285">
        <v>1</v>
      </c>
      <c r="K80" s="285">
        <v>0.9</v>
      </c>
      <c r="L80" s="285">
        <v>0.9</v>
      </c>
      <c r="M80" s="285">
        <v>0.9</v>
      </c>
      <c r="N80" s="285">
        <v>0</v>
      </c>
      <c r="O80" s="285">
        <v>0.1</v>
      </c>
      <c r="P80" s="285">
        <v>0.2</v>
      </c>
    </row>
    <row r="81" spans="4:16" ht="14.4">
      <c r="D81" s="285" t="s">
        <v>567</v>
      </c>
      <c r="E81" s="285">
        <v>81</v>
      </c>
      <c r="F81" s="285">
        <v>1.1000000000000001</v>
      </c>
      <c r="G81" s="285">
        <v>1.3</v>
      </c>
      <c r="H81" s="285">
        <v>1.2</v>
      </c>
      <c r="I81" s="285">
        <v>1.1000000000000001</v>
      </c>
      <c r="J81" s="285">
        <v>1</v>
      </c>
      <c r="K81" s="285">
        <v>1</v>
      </c>
      <c r="L81" s="285">
        <v>0.9</v>
      </c>
      <c r="M81" s="285">
        <v>0.8</v>
      </c>
      <c r="N81" s="285">
        <v>0</v>
      </c>
      <c r="O81" s="285">
        <v>0.3</v>
      </c>
      <c r="P81" s="285">
        <v>0.5</v>
      </c>
    </row>
    <row r="82" spans="4:16" ht="14.4">
      <c r="D82" s="285" t="s">
        <v>575</v>
      </c>
      <c r="E82" s="285">
        <v>88</v>
      </c>
      <c r="F82" s="285">
        <v>1.2</v>
      </c>
      <c r="G82" s="285">
        <v>1.3</v>
      </c>
      <c r="H82" s="285">
        <v>1.2</v>
      </c>
      <c r="I82" s="285">
        <v>1.1000000000000001</v>
      </c>
      <c r="J82" s="285">
        <v>1</v>
      </c>
      <c r="K82" s="285">
        <v>1</v>
      </c>
      <c r="L82" s="285">
        <v>0.9</v>
      </c>
      <c r="M82" s="285">
        <v>0.7</v>
      </c>
      <c r="N82" s="285">
        <v>0</v>
      </c>
      <c r="O82" s="285">
        <v>0.1</v>
      </c>
      <c r="P82" s="285">
        <v>0.2</v>
      </c>
    </row>
    <row r="83" spans="4:16" ht="14.4">
      <c r="D83" s="285" t="s">
        <v>582</v>
      </c>
      <c r="E83" s="285">
        <v>97</v>
      </c>
      <c r="F83" s="285">
        <v>1.1000000000000001</v>
      </c>
      <c r="G83" s="285">
        <v>1.3</v>
      </c>
      <c r="H83" s="285">
        <v>1.2</v>
      </c>
      <c r="I83" s="285">
        <v>1.1000000000000001</v>
      </c>
      <c r="J83" s="285">
        <v>1</v>
      </c>
      <c r="K83" s="285">
        <v>1</v>
      </c>
      <c r="L83" s="285">
        <v>0.9</v>
      </c>
      <c r="M83" s="285">
        <v>0.8</v>
      </c>
      <c r="N83" s="285">
        <v>0</v>
      </c>
      <c r="O83" s="285">
        <v>0.3</v>
      </c>
      <c r="P83" s="285">
        <v>0.5</v>
      </c>
    </row>
    <row r="84" spans="4:16" ht="14.4">
      <c r="D84" s="285" t="s">
        <v>588</v>
      </c>
      <c r="E84" s="285">
        <v>100</v>
      </c>
      <c r="F84" s="285">
        <v>1.1000000000000001</v>
      </c>
      <c r="G84" s="285">
        <v>1.2</v>
      </c>
      <c r="H84" s="285">
        <v>1.1000000000000001</v>
      </c>
      <c r="I84" s="285">
        <v>1.1000000000000001</v>
      </c>
      <c r="J84" s="285">
        <v>1</v>
      </c>
      <c r="K84" s="285">
        <v>1</v>
      </c>
      <c r="L84" s="285">
        <v>1</v>
      </c>
      <c r="M84" s="285">
        <v>0.9</v>
      </c>
      <c r="N84" s="285">
        <v>0</v>
      </c>
      <c r="O84" s="285">
        <v>0.1</v>
      </c>
      <c r="P84" s="285">
        <v>0.3</v>
      </c>
    </row>
    <row r="85" spans="4:16" ht="14.4">
      <c r="D85" s="285" t="s">
        <v>593</v>
      </c>
      <c r="E85" s="285">
        <f>MIN(E79:E84)</f>
        <v>74</v>
      </c>
      <c r="F85" s="285">
        <f>MIN(F79:F84)</f>
        <v>1</v>
      </c>
      <c r="G85" s="285">
        <f t="shared" ref="G85:P85" si="1">MIN(G79:G84)</f>
        <v>1.1000000000000001</v>
      </c>
      <c r="H85" s="285">
        <f t="shared" si="1"/>
        <v>1</v>
      </c>
      <c r="I85" s="285">
        <f t="shared" si="1"/>
        <v>1</v>
      </c>
      <c r="J85" s="285">
        <f t="shared" si="1"/>
        <v>1</v>
      </c>
      <c r="K85" s="285">
        <f t="shared" si="1"/>
        <v>0.9</v>
      </c>
      <c r="L85" s="285">
        <f t="shared" si="1"/>
        <v>0.9</v>
      </c>
      <c r="M85" s="285">
        <f t="shared" si="1"/>
        <v>0.7</v>
      </c>
      <c r="N85" s="285">
        <f t="shared" si="1"/>
        <v>0</v>
      </c>
      <c r="O85" s="285">
        <f t="shared" si="1"/>
        <v>0.1</v>
      </c>
      <c r="P85" s="285">
        <f t="shared" si="1"/>
        <v>0.2</v>
      </c>
    </row>
    <row r="86" spans="4:16" ht="14.4">
      <c r="D86" s="285" t="s">
        <v>597</v>
      </c>
      <c r="E86" s="285"/>
      <c r="F86" s="285"/>
      <c r="G86" s="285"/>
      <c r="H86" s="285"/>
      <c r="I86" s="285"/>
      <c r="J86" s="285"/>
      <c r="K86" s="285"/>
      <c r="L86" s="285"/>
      <c r="M86" s="285"/>
      <c r="N86" s="285"/>
      <c r="O86" s="285"/>
      <c r="P86" s="285"/>
    </row>
    <row r="87" spans="4:16" ht="14.4">
      <c r="D87" s="285" t="s">
        <v>600</v>
      </c>
      <c r="E87" s="285"/>
      <c r="F87" s="285"/>
      <c r="G87" s="285"/>
      <c r="H87" s="285"/>
      <c r="I87" s="285"/>
      <c r="J87" s="285"/>
      <c r="K87" s="285"/>
      <c r="L87" s="285"/>
      <c r="M87" s="285"/>
      <c r="N87" s="285"/>
      <c r="O87" s="285"/>
      <c r="P87" s="285"/>
    </row>
    <row r="88" spans="4:16" ht="14.4">
      <c r="D88" s="285" t="s">
        <v>603</v>
      </c>
      <c r="E88" s="285"/>
      <c r="F88" s="285"/>
      <c r="G88" s="285"/>
      <c r="H88" s="285"/>
      <c r="I88" s="285"/>
      <c r="J88" s="285"/>
      <c r="K88" s="285"/>
      <c r="L88" s="285"/>
      <c r="M88" s="285"/>
      <c r="N88" s="285"/>
      <c r="O88" s="285"/>
      <c r="P88" s="285"/>
    </row>
    <row r="89" spans="4:16" ht="13.8" thickBot="1"/>
    <row r="90" spans="4:16" ht="14.4" thickBot="1">
      <c r="D90" s="71" t="s">
        <v>764</v>
      </c>
      <c r="E90" s="68"/>
      <c r="F90" s="68"/>
      <c r="G90" s="68"/>
      <c r="H90" s="69"/>
    </row>
    <row r="91" spans="4:16" ht="28.2" thickBot="1">
      <c r="D91" s="297" t="s">
        <v>765</v>
      </c>
      <c r="E91" s="298" t="s">
        <v>766</v>
      </c>
      <c r="F91" s="298" t="s">
        <v>767</v>
      </c>
      <c r="G91" s="299" t="s">
        <v>768</v>
      </c>
    </row>
    <row r="92" spans="4:16" ht="14.4" thickBot="1">
      <c r="D92" s="302" t="s">
        <v>196</v>
      </c>
      <c r="E92" s="300">
        <v>0.26</v>
      </c>
      <c r="F92" s="300">
        <v>0.2</v>
      </c>
    </row>
    <row r="93" spans="4:16" ht="14.4" thickBot="1">
      <c r="D93" s="302" t="s">
        <v>206</v>
      </c>
      <c r="E93" s="301">
        <v>0.43</v>
      </c>
      <c r="F93" s="300">
        <v>0.2</v>
      </c>
    </row>
    <row r="94" spans="4:16" ht="14.4" thickBot="1">
      <c r="D94" s="302" t="s">
        <v>769</v>
      </c>
      <c r="E94" s="301">
        <v>0.2</v>
      </c>
      <c r="F94" s="300">
        <v>0.2</v>
      </c>
    </row>
    <row r="95" spans="4:16" ht="14.4" thickBot="1">
      <c r="D95" s="302" t="s">
        <v>770</v>
      </c>
      <c r="E95" s="301">
        <v>0.38</v>
      </c>
      <c r="F95" s="300">
        <v>0.2</v>
      </c>
    </row>
    <row r="96" spans="4:16" ht="14.4" thickBot="1">
      <c r="D96" s="302" t="s">
        <v>771</v>
      </c>
      <c r="E96" s="301">
        <v>0.1</v>
      </c>
      <c r="F96" s="300">
        <v>0.2</v>
      </c>
    </row>
    <row r="97" spans="4:6" ht="14.4" thickBot="1">
      <c r="D97" s="302" t="s">
        <v>772</v>
      </c>
      <c r="E97" s="301">
        <v>0.57999999999999996</v>
      </c>
      <c r="F97" s="300">
        <v>0.2</v>
      </c>
    </row>
    <row r="98" spans="4:6" ht="14.4" thickBot="1">
      <c r="D98" s="302" t="s">
        <v>773</v>
      </c>
      <c r="E98" s="301">
        <v>0.46</v>
      </c>
      <c r="F98" s="300">
        <v>0.2</v>
      </c>
    </row>
    <row r="99" spans="4:6" ht="14.4" thickBot="1">
      <c r="D99" s="302" t="s">
        <v>774</v>
      </c>
      <c r="E99" s="301">
        <v>0.41</v>
      </c>
      <c r="F99" s="300">
        <v>0.2</v>
      </c>
    </row>
    <row r="100" spans="4:6" ht="14.4" thickBot="1">
      <c r="D100" s="302" t="s">
        <v>775</v>
      </c>
      <c r="E100" s="301">
        <v>0.41</v>
      </c>
      <c r="F100" s="300">
        <v>0.2</v>
      </c>
    </row>
    <row r="101" spans="4:6" ht="14.4" thickBot="1">
      <c r="D101" s="302" t="s">
        <v>197</v>
      </c>
      <c r="E101" s="301">
        <v>0.36</v>
      </c>
      <c r="F101" s="300">
        <v>0.2</v>
      </c>
    </row>
    <row r="102" spans="4:6" ht="14.4" thickBot="1">
      <c r="D102" s="302" t="s">
        <v>776</v>
      </c>
      <c r="E102" s="301">
        <v>0.21</v>
      </c>
      <c r="F102" s="300">
        <v>0.2</v>
      </c>
    </row>
    <row r="103" spans="4:6" ht="14.4" thickBot="1">
      <c r="D103" s="302" t="s">
        <v>777</v>
      </c>
      <c r="E103" s="301">
        <v>0.34</v>
      </c>
      <c r="F103" s="300">
        <v>0.2</v>
      </c>
    </row>
    <row r="104" spans="4:6" ht="14.4" thickBot="1">
      <c r="D104" s="302" t="s">
        <v>778</v>
      </c>
      <c r="E104" s="301">
        <v>0.28999999999999998</v>
      </c>
      <c r="F104" s="300">
        <v>0.2</v>
      </c>
    </row>
    <row r="105" spans="4:6" ht="13.8">
      <c r="D105" s="302" t="s">
        <v>779</v>
      </c>
      <c r="E105" s="301">
        <v>0</v>
      </c>
      <c r="F105" s="300">
        <v>0.2</v>
      </c>
    </row>
    <row r="106" spans="4:6" ht="13.8">
      <c r="D106" s="302" t="s">
        <v>780</v>
      </c>
      <c r="E106" s="301">
        <v>1</v>
      </c>
      <c r="F106" s="301">
        <v>1</v>
      </c>
    </row>
  </sheetData>
  <sheetProtection algorithmName="SHA-512" hashValue="EnmozbiJNgQYn6Z8d5QNdVrhf8AvaLiR98mFhw3pe8pRb7Rm4rBxqALOqpktPSUveiEUnV6wf4zB1N4z/cOkXw==" saltValue="Lzlw8tp+YIEQMukmFDOmzA==" spinCount="100000" sheet="1" selectLockedCells="1" selectUnlockedCells="1"/>
  <mergeCells count="45">
    <mergeCell ref="B39:B40"/>
    <mergeCell ref="D39:E39"/>
    <mergeCell ref="D40:E40"/>
    <mergeCell ref="B33:B34"/>
    <mergeCell ref="D33:G33"/>
    <mergeCell ref="D34:E34"/>
    <mergeCell ref="D37:E37"/>
    <mergeCell ref="D38:E38"/>
    <mergeCell ref="D48:E48"/>
    <mergeCell ref="D49:E49"/>
    <mergeCell ref="D50:E50"/>
    <mergeCell ref="B53:B54"/>
    <mergeCell ref="D53:E53"/>
    <mergeCell ref="D54:E54"/>
    <mergeCell ref="D41:E41"/>
    <mergeCell ref="D42:E42"/>
    <mergeCell ref="D43:E43"/>
    <mergeCell ref="D44:E44"/>
    <mergeCell ref="D47:E47"/>
    <mergeCell ref="D31:E31"/>
    <mergeCell ref="F31:G31"/>
    <mergeCell ref="B13:B18"/>
    <mergeCell ref="D19:G19"/>
    <mergeCell ref="D20:E20"/>
    <mergeCell ref="D21:E21"/>
    <mergeCell ref="B22:B23"/>
    <mergeCell ref="D27:E27"/>
    <mergeCell ref="F28:G28"/>
    <mergeCell ref="D29:E29"/>
    <mergeCell ref="F29:G29"/>
    <mergeCell ref="D30:E30"/>
    <mergeCell ref="F30:G30"/>
    <mergeCell ref="B28:B31"/>
    <mergeCell ref="D28:E28"/>
    <mergeCell ref="B10:B11"/>
    <mergeCell ref="M3:AS3"/>
    <mergeCell ref="D5:G5"/>
    <mergeCell ref="B8:B9"/>
    <mergeCell ref="D8:G8"/>
    <mergeCell ref="D9:G9"/>
    <mergeCell ref="F60:G60"/>
    <mergeCell ref="F64:G64"/>
    <mergeCell ref="F68:G68"/>
    <mergeCell ref="F65:G65"/>
    <mergeCell ref="D56:G57"/>
  </mergeCells>
  <printOptions horizontalCentered="1"/>
  <pageMargins left="0" right="0" top="0.39374999999999999" bottom="0"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08"/>
  <sheetViews>
    <sheetView topLeftCell="A18" zoomScale="85" zoomScaleNormal="85" workbookViewId="0">
      <selection activeCell="A44" sqref="A44"/>
    </sheetView>
  </sheetViews>
  <sheetFormatPr defaultColWidth="9.21875" defaultRowHeight="14.4"/>
  <cols>
    <col min="1" max="1" width="94.44140625" style="340" customWidth="1"/>
    <col min="2" max="2" width="11" style="340" customWidth="1"/>
    <col min="3" max="3" width="6.77734375" style="340" customWidth="1"/>
    <col min="4" max="8" width="6.21875" style="340" customWidth="1"/>
    <col min="9" max="9" width="6.21875" customWidth="1"/>
    <col min="10" max="11" width="7.21875" customWidth="1"/>
    <col min="12" max="12" width="8.5546875" customWidth="1"/>
    <col min="13" max="20" width="5.5546875" customWidth="1"/>
    <col min="21" max="21" width="7" customWidth="1"/>
    <col min="22" max="22" width="11.77734375" customWidth="1"/>
    <col min="23" max="23" width="17.77734375" customWidth="1"/>
    <col min="24" max="30" width="5.5546875" customWidth="1"/>
    <col min="31" max="31" width="16.21875" customWidth="1"/>
    <col min="32" max="32" width="17" customWidth="1"/>
    <col min="33" max="36" width="5.5546875" customWidth="1"/>
  </cols>
  <sheetData>
    <row r="1" spans="1:37">
      <c r="A1" s="318" t="s">
        <v>781</v>
      </c>
      <c r="B1" s="316" t="s">
        <v>810</v>
      </c>
      <c r="E1" s="317"/>
      <c r="F1" s="316" t="str">
        <f>IF(AND('Fiche projet biomasse'!G256&lt;&gt;0,'Fiche projet biomasse'!L165&lt;&gt;0),"ok","non")</f>
        <v>non</v>
      </c>
      <c r="G1" s="317"/>
      <c r="H1" s="317"/>
      <c r="I1" s="316"/>
      <c r="J1" s="316"/>
      <c r="K1" s="316"/>
      <c r="L1" s="316"/>
      <c r="M1" s="316"/>
      <c r="N1" s="316"/>
      <c r="O1" s="316"/>
      <c r="P1" s="316"/>
      <c r="Q1" s="316"/>
      <c r="R1" s="316"/>
      <c r="S1" s="316"/>
      <c r="T1" s="316"/>
      <c r="U1" s="316"/>
      <c r="V1" s="316"/>
      <c r="W1" s="316"/>
      <c r="X1" s="316"/>
      <c r="Y1" s="316"/>
      <c r="Z1" s="316"/>
      <c r="AA1" s="316"/>
      <c r="AB1" s="316"/>
      <c r="AC1" s="316"/>
      <c r="AD1" s="316"/>
      <c r="AE1" s="316"/>
      <c r="AF1" s="319"/>
      <c r="AG1" s="316"/>
      <c r="AH1" s="316"/>
      <c r="AI1" s="316"/>
      <c r="AJ1" s="316"/>
      <c r="AK1" s="316"/>
    </row>
    <row r="2" spans="1:37" ht="15" thickBot="1">
      <c r="A2" s="320"/>
      <c r="B2" s="317"/>
      <c r="C2" s="317"/>
      <c r="D2" s="317"/>
      <c r="E2" s="317"/>
      <c r="F2" s="317"/>
      <c r="G2" s="317"/>
      <c r="H2" s="317"/>
      <c r="I2" s="316"/>
      <c r="J2" s="316"/>
      <c r="K2" s="316"/>
      <c r="L2" s="316"/>
      <c r="M2" s="316"/>
      <c r="N2" s="316"/>
      <c r="O2" s="316"/>
      <c r="P2" s="316"/>
      <c r="Q2" s="316"/>
      <c r="R2" s="316"/>
      <c r="S2" s="316"/>
      <c r="T2" s="316"/>
      <c r="U2" s="316"/>
      <c r="V2" s="316"/>
      <c r="W2" s="316"/>
      <c r="X2" s="316"/>
      <c r="Y2" s="316"/>
      <c r="Z2" s="316"/>
      <c r="AA2" s="316"/>
      <c r="AB2" s="316"/>
      <c r="AC2" s="316"/>
      <c r="AD2" s="316"/>
      <c r="AE2" s="316"/>
      <c r="AF2" s="319"/>
      <c r="AG2" s="316"/>
      <c r="AH2" s="316"/>
      <c r="AI2" s="316"/>
      <c r="AJ2" s="316"/>
      <c r="AK2" s="316"/>
    </row>
    <row r="3" spans="1:37" ht="20.55" customHeight="1" thickBot="1">
      <c r="A3" s="321" t="s">
        <v>782</v>
      </c>
      <c r="B3" s="316"/>
      <c r="C3" s="317"/>
      <c r="D3" s="316"/>
      <c r="E3" s="316"/>
      <c r="F3" s="316"/>
      <c r="G3" s="316"/>
      <c r="H3" s="316"/>
      <c r="I3" s="316"/>
      <c r="J3" s="316"/>
      <c r="K3" s="316"/>
      <c r="L3" s="316"/>
      <c r="M3" s="316"/>
      <c r="N3" s="316"/>
      <c r="O3" s="316"/>
      <c r="P3" s="316"/>
      <c r="Q3" s="316"/>
      <c r="R3" s="316"/>
      <c r="S3" s="316"/>
      <c r="T3" s="316"/>
      <c r="U3" s="316"/>
      <c r="V3" s="316"/>
      <c r="W3" s="316"/>
      <c r="X3" s="316"/>
      <c r="Y3" s="316"/>
      <c r="Z3" s="316"/>
      <c r="AA3" s="316"/>
      <c r="AB3" s="316"/>
    </row>
    <row r="4" spans="1:37" ht="18.600000000000001" customHeight="1">
      <c r="A4" s="344">
        <f>'Fiche projet biomasse'!F174</f>
        <v>0</v>
      </c>
      <c r="B4" s="316"/>
      <c r="C4" s="317"/>
      <c r="D4" s="316"/>
      <c r="E4" s="316"/>
      <c r="F4" s="316"/>
      <c r="G4" s="316"/>
      <c r="H4" s="316"/>
      <c r="I4" s="316"/>
      <c r="J4" s="316"/>
      <c r="K4" s="316"/>
      <c r="L4" s="316"/>
      <c r="M4" s="316"/>
      <c r="N4" s="316"/>
      <c r="O4" s="316"/>
      <c r="P4" s="316"/>
      <c r="Q4" s="316"/>
      <c r="R4" s="316"/>
      <c r="S4" s="316"/>
      <c r="T4" s="316"/>
      <c r="U4" s="316"/>
      <c r="V4" s="316"/>
      <c r="W4" s="316"/>
      <c r="X4" s="316"/>
      <c r="Y4" s="316"/>
      <c r="Z4" s="316"/>
      <c r="AA4" s="316"/>
      <c r="AB4" s="316"/>
    </row>
    <row r="5" spans="1:37" ht="18.600000000000001" customHeight="1" thickBot="1">
      <c r="A5" s="316"/>
      <c r="B5" s="316"/>
      <c r="C5" s="317"/>
      <c r="D5" s="316"/>
      <c r="E5" s="316"/>
      <c r="F5" s="316"/>
      <c r="G5" s="316"/>
      <c r="H5" s="316"/>
      <c r="I5" s="316"/>
      <c r="J5" s="316"/>
      <c r="K5" s="316"/>
      <c r="L5" s="316"/>
      <c r="M5" s="316"/>
      <c r="N5" s="316"/>
      <c r="O5" s="316"/>
      <c r="P5" s="316"/>
      <c r="Q5" s="316"/>
      <c r="R5" s="316"/>
      <c r="S5" s="316"/>
      <c r="T5" s="316"/>
      <c r="U5" s="316"/>
      <c r="V5" s="316"/>
      <c r="W5" s="316"/>
      <c r="X5" s="316"/>
      <c r="Y5" s="316"/>
      <c r="Z5" s="316"/>
      <c r="AA5" s="316"/>
      <c r="AB5" s="316"/>
    </row>
    <row r="6" spans="1:37" ht="33" customHeight="1" thickBot="1">
      <c r="A6" s="321" t="s">
        <v>783</v>
      </c>
      <c r="B6" s="316"/>
      <c r="C6" s="317"/>
      <c r="D6" s="316"/>
      <c r="E6" s="316"/>
      <c r="F6" s="316"/>
      <c r="G6" s="316"/>
      <c r="H6" s="316"/>
      <c r="I6" s="316"/>
      <c r="J6" s="316"/>
      <c r="K6" s="316"/>
      <c r="L6" s="316"/>
      <c r="M6" s="316"/>
      <c r="N6" s="316"/>
      <c r="O6" s="316"/>
      <c r="P6" s="316"/>
      <c r="Q6" s="316"/>
      <c r="R6" s="316"/>
      <c r="S6" s="316"/>
      <c r="T6" s="316"/>
      <c r="U6" s="316"/>
      <c r="V6" s="316"/>
      <c r="W6" s="316"/>
      <c r="X6" s="316"/>
      <c r="Y6" s="316"/>
      <c r="Z6" s="316"/>
      <c r="AA6" s="316"/>
      <c r="AB6" s="316"/>
    </row>
    <row r="7" spans="1:37" ht="18.600000000000001" customHeight="1">
      <c r="A7" s="344">
        <f>'Fiche projet biomasse'!I298+'Fiche projet biomasse'!K298+'Fiche projet biomasse'!E300+autofinancement+subventions+'Fiche projet biomasse'!E303+'Fiche projet biomasse'!E304</f>
        <v>0</v>
      </c>
      <c r="B7" s="316"/>
      <c r="C7" s="317"/>
      <c r="D7" s="316"/>
      <c r="E7" s="316"/>
      <c r="F7" s="316"/>
      <c r="G7" s="316"/>
      <c r="H7" s="316"/>
      <c r="I7" s="316"/>
      <c r="J7" s="316"/>
      <c r="K7" s="316"/>
      <c r="L7" s="316"/>
      <c r="M7" s="316"/>
      <c r="N7" s="316"/>
      <c r="O7" s="316"/>
      <c r="P7" s="316"/>
      <c r="Q7" s="316"/>
      <c r="R7" s="316"/>
      <c r="S7" s="316"/>
      <c r="T7" s="316"/>
      <c r="U7" s="316"/>
      <c r="V7" s="316"/>
      <c r="W7" s="316"/>
      <c r="X7" s="316"/>
      <c r="Y7" s="316"/>
      <c r="Z7" s="316"/>
      <c r="AA7" s="316"/>
      <c r="AB7" s="316"/>
    </row>
    <row r="8" spans="1:37" ht="15" thickBot="1">
      <c r="A8"/>
      <c r="B8"/>
      <c r="C8"/>
      <c r="D8"/>
      <c r="E8"/>
      <c r="F8"/>
      <c r="G8"/>
      <c r="H8"/>
    </row>
    <row r="9" spans="1:37" ht="83.1" customHeight="1" thickBot="1">
      <c r="A9" s="1211" t="s">
        <v>784</v>
      </c>
      <c r="B9" s="1212"/>
      <c r="C9"/>
      <c r="D9"/>
      <c r="E9"/>
      <c r="F9"/>
      <c r="G9"/>
      <c r="H9"/>
    </row>
    <row r="10" spans="1:37" ht="15" thickBot="1">
      <c r="A10" s="322" t="s">
        <v>170</v>
      </c>
      <c r="B10" s="323">
        <f>'Fiche projet biomasse'!G246</f>
        <v>0</v>
      </c>
      <c r="C10"/>
      <c r="D10"/>
      <c r="E10"/>
      <c r="F10"/>
      <c r="G10"/>
      <c r="H10"/>
    </row>
    <row r="11" spans="1:37" ht="15" thickBot="1">
      <c r="A11" s="322" t="s">
        <v>172</v>
      </c>
      <c r="B11" s="323">
        <f>'Fiche projet biomasse'!G248</f>
        <v>0</v>
      </c>
      <c r="C11"/>
      <c r="D11"/>
      <c r="E11"/>
      <c r="F11"/>
      <c r="G11"/>
      <c r="H11"/>
    </row>
    <row r="12" spans="1:37" ht="15" thickBot="1">
      <c r="A12" s="322" t="s">
        <v>174</v>
      </c>
      <c r="B12" s="323">
        <f>'Fiche projet biomasse'!G250</f>
        <v>0</v>
      </c>
      <c r="C12"/>
      <c r="D12"/>
      <c r="E12"/>
      <c r="F12"/>
      <c r="G12"/>
      <c r="H12"/>
    </row>
    <row r="13" spans="1:37" ht="15" thickBot="1">
      <c r="A13" s="322" t="s">
        <v>176</v>
      </c>
      <c r="B13" s="323">
        <f>'Fiche projet biomasse'!G252</f>
        <v>0</v>
      </c>
      <c r="C13"/>
      <c r="D13"/>
      <c r="E13"/>
      <c r="F13"/>
      <c r="G13"/>
      <c r="H13"/>
      <c r="J13" s="341"/>
    </row>
    <row r="14" spans="1:37">
      <c r="A14" s="324" t="s">
        <v>258</v>
      </c>
      <c r="B14" s="325"/>
      <c r="C14"/>
      <c r="D14"/>
      <c r="E14"/>
      <c r="F14"/>
      <c r="G14"/>
      <c r="H14"/>
    </row>
    <row r="15" spans="1:37">
      <c r="A15" s="324" t="s">
        <v>259</v>
      </c>
      <c r="B15" s="325"/>
      <c r="C15"/>
      <c r="D15"/>
      <c r="E15"/>
      <c r="F15"/>
      <c r="G15"/>
      <c r="H15"/>
    </row>
    <row r="16" spans="1:37">
      <c r="A16" s="324" t="s">
        <v>260</v>
      </c>
      <c r="B16" s="325"/>
      <c r="C16"/>
      <c r="D16"/>
      <c r="E16"/>
      <c r="F16"/>
      <c r="G16"/>
      <c r="H16"/>
    </row>
    <row r="17" spans="1:28" ht="15" thickBot="1">
      <c r="A17" s="324" t="s">
        <v>261</v>
      </c>
      <c r="B17" s="325"/>
      <c r="C17"/>
      <c r="D17"/>
      <c r="E17"/>
      <c r="F17"/>
      <c r="G17"/>
      <c r="H17"/>
    </row>
    <row r="18" spans="1:28" ht="66.599999999999994" customHeight="1" thickBot="1">
      <c r="A18" s="1211" t="s">
        <v>785</v>
      </c>
      <c r="B18" s="1212"/>
      <c r="C18"/>
      <c r="D18"/>
      <c r="E18"/>
      <c r="F18"/>
      <c r="G18"/>
      <c r="H18"/>
    </row>
    <row r="19" spans="1:28" ht="15" thickBot="1">
      <c r="A19" s="322" t="s">
        <v>786</v>
      </c>
      <c r="B19" s="323">
        <f>'Fiche projet biomasse'!G256</f>
        <v>0</v>
      </c>
      <c r="C19"/>
      <c r="D19"/>
      <c r="E19"/>
      <c r="F19"/>
      <c r="G19"/>
      <c r="H19"/>
    </row>
    <row r="20" spans="1:28" ht="15" thickBot="1">
      <c r="A20" s="322" t="s">
        <v>264</v>
      </c>
      <c r="B20" s="323">
        <f>'Fiche projet biomasse'!G257</f>
        <v>0</v>
      </c>
      <c r="C20"/>
      <c r="D20"/>
      <c r="E20"/>
      <c r="F20"/>
      <c r="G20"/>
      <c r="H20"/>
    </row>
    <row r="21" spans="1:28" ht="15" thickBot="1">
      <c r="A21"/>
      <c r="B21"/>
      <c r="C21"/>
      <c r="D21"/>
      <c r="E21"/>
      <c r="F21"/>
      <c r="G21"/>
      <c r="H21"/>
    </row>
    <row r="22" spans="1:28" ht="102.6" customHeight="1" thickBot="1">
      <c r="A22" s="1213" t="s">
        <v>787</v>
      </c>
      <c r="B22" s="1214"/>
      <c r="C22" s="1214"/>
      <c r="D22" s="1214"/>
      <c r="E22" s="1214"/>
      <c r="F22" s="1214"/>
      <c r="G22" s="1214"/>
      <c r="H22" s="1214"/>
      <c r="I22" s="1214"/>
      <c r="J22" s="1214"/>
      <c r="K22" s="1214"/>
      <c r="L22" s="1214"/>
      <c r="M22" s="1214"/>
      <c r="N22" s="1214"/>
      <c r="O22" s="1214"/>
      <c r="P22" s="1214"/>
      <c r="Q22" s="1214"/>
      <c r="R22" s="1214"/>
      <c r="S22" s="1214"/>
      <c r="T22" s="1214"/>
      <c r="U22" s="1214"/>
      <c r="V22" s="1215"/>
    </row>
    <row r="23" spans="1:28">
      <c r="A23" s="320"/>
      <c r="B23" s="316"/>
      <c r="C23" s="316"/>
      <c r="D23" s="316"/>
      <c r="E23" s="316"/>
      <c r="F23" s="316"/>
      <c r="G23" s="316"/>
      <c r="H23" s="316"/>
      <c r="I23" s="316"/>
      <c r="J23" s="316"/>
      <c r="K23" s="316"/>
      <c r="L23" s="316"/>
      <c r="M23" s="316"/>
      <c r="N23" s="316"/>
      <c r="O23" s="316"/>
      <c r="P23" s="316"/>
      <c r="Q23" s="316"/>
      <c r="R23" s="316"/>
      <c r="S23" s="316"/>
      <c r="T23" s="316"/>
      <c r="U23" s="316"/>
      <c r="V23" s="316"/>
      <c r="W23" s="319"/>
      <c r="X23" s="316"/>
      <c r="Y23" s="316"/>
      <c r="Z23" s="316"/>
      <c r="AA23" s="316"/>
      <c r="AB23" s="316"/>
    </row>
    <row r="24" spans="1:28" ht="15" thickBot="1">
      <c r="A24" s="326" t="s">
        <v>788</v>
      </c>
      <c r="B24" s="326">
        <v>2024</v>
      </c>
      <c r="C24" s="326">
        <v>2025</v>
      </c>
      <c r="D24" s="326">
        <v>2026</v>
      </c>
      <c r="E24" s="326">
        <v>2027</v>
      </c>
      <c r="F24" s="326">
        <v>2028</v>
      </c>
      <c r="G24" s="326">
        <v>2029</v>
      </c>
      <c r="H24" s="326">
        <v>2030</v>
      </c>
      <c r="I24" s="326">
        <v>2031</v>
      </c>
      <c r="J24" s="326">
        <v>2032</v>
      </c>
      <c r="K24" s="326">
        <v>2033</v>
      </c>
      <c r="L24" s="326">
        <v>2034</v>
      </c>
      <c r="M24" s="326">
        <v>2035</v>
      </c>
      <c r="N24" s="326">
        <v>2036</v>
      </c>
      <c r="O24" s="326">
        <v>2037</v>
      </c>
      <c r="P24" s="326">
        <v>2038</v>
      </c>
      <c r="Q24" s="326">
        <v>2039</v>
      </c>
      <c r="R24" s="326">
        <v>2040</v>
      </c>
      <c r="S24" s="326">
        <v>2041</v>
      </c>
      <c r="T24" s="326">
        <v>2042</v>
      </c>
      <c r="U24" s="326">
        <v>2043</v>
      </c>
      <c r="V24" s="316"/>
      <c r="W24" s="316"/>
      <c r="X24" s="316"/>
      <c r="Y24" s="316"/>
      <c r="Z24" s="316"/>
      <c r="AA24" s="316"/>
    </row>
    <row r="25" spans="1:28" s="1" customFormat="1" ht="15" thickBot="1">
      <c r="A25" s="327" t="s">
        <v>789</v>
      </c>
      <c r="B25" s="328">
        <f>B19+B20-SUM(B10:B13)</f>
        <v>0</v>
      </c>
      <c r="C25" s="329">
        <f t="shared" ref="C25:U25" si="0">$B$19-SUM($B$10:$B$13)</f>
        <v>0</v>
      </c>
      <c r="D25" s="329">
        <f t="shared" si="0"/>
        <v>0</v>
      </c>
      <c r="E25" s="329">
        <f t="shared" si="0"/>
        <v>0</v>
      </c>
      <c r="F25" s="329">
        <f t="shared" si="0"/>
        <v>0</v>
      </c>
      <c r="G25" s="329">
        <f t="shared" si="0"/>
        <v>0</v>
      </c>
      <c r="H25" s="329">
        <f t="shared" si="0"/>
        <v>0</v>
      </c>
      <c r="I25" s="329">
        <f t="shared" si="0"/>
        <v>0</v>
      </c>
      <c r="J25" s="329">
        <f t="shared" si="0"/>
        <v>0</v>
      </c>
      <c r="K25" s="329">
        <f t="shared" si="0"/>
        <v>0</v>
      </c>
      <c r="L25" s="329">
        <f t="shared" si="0"/>
        <v>0</v>
      </c>
      <c r="M25" s="329">
        <f t="shared" si="0"/>
        <v>0</v>
      </c>
      <c r="N25" s="329">
        <f t="shared" si="0"/>
        <v>0</v>
      </c>
      <c r="O25" s="329">
        <f t="shared" si="0"/>
        <v>0</v>
      </c>
      <c r="P25" s="329">
        <f t="shared" si="0"/>
        <v>0</v>
      </c>
      <c r="Q25" s="329">
        <f t="shared" si="0"/>
        <v>0</v>
      </c>
      <c r="R25" s="329">
        <f t="shared" si="0"/>
        <v>0</v>
      </c>
      <c r="S25" s="329">
        <f t="shared" si="0"/>
        <v>0</v>
      </c>
      <c r="T25" s="329">
        <f t="shared" si="0"/>
        <v>0</v>
      </c>
      <c r="U25" s="329">
        <f t="shared" si="0"/>
        <v>0</v>
      </c>
      <c r="V25" s="330"/>
      <c r="W25" s="330"/>
      <c r="X25" s="330"/>
      <c r="Y25" s="330"/>
      <c r="Z25" s="330"/>
      <c r="AA25" s="330"/>
    </row>
    <row r="26" spans="1:28">
      <c r="A26" s="317"/>
      <c r="B26" s="316"/>
      <c r="C26" s="316"/>
      <c r="D26" s="316"/>
      <c r="E26" s="316"/>
      <c r="F26" s="316"/>
      <c r="G26" s="316"/>
      <c r="H26" s="316"/>
      <c r="I26" s="316"/>
      <c r="J26" s="316"/>
      <c r="K26" s="316"/>
      <c r="L26" s="316"/>
      <c r="M26" s="316"/>
      <c r="N26" s="316"/>
      <c r="O26" s="316"/>
      <c r="P26" s="316"/>
      <c r="Q26" s="316"/>
      <c r="R26" s="316"/>
      <c r="S26" s="316"/>
      <c r="T26" s="316"/>
      <c r="U26" s="316"/>
      <c r="V26" s="319" t="s">
        <v>790</v>
      </c>
      <c r="W26" s="316"/>
      <c r="X26" s="316"/>
      <c r="Y26" s="316"/>
      <c r="Z26" s="316"/>
      <c r="AA26" s="316"/>
    </row>
    <row r="27" spans="1:28" ht="20.55" customHeight="1">
      <c r="A27" s="331" t="s">
        <v>791</v>
      </c>
      <c r="B27" s="332">
        <f>-A4</f>
        <v>0</v>
      </c>
      <c r="C27" s="333"/>
      <c r="D27" s="333"/>
      <c r="E27" s="333"/>
      <c r="F27" s="333"/>
      <c r="G27" s="333"/>
      <c r="H27" s="333"/>
      <c r="I27" s="333"/>
      <c r="J27" s="333"/>
      <c r="K27" s="333"/>
      <c r="L27" s="333"/>
      <c r="M27" s="333"/>
      <c r="N27" s="333"/>
      <c r="O27" s="333"/>
      <c r="P27" s="333"/>
      <c r="Q27" s="333"/>
      <c r="R27" s="333"/>
      <c r="S27" s="333"/>
      <c r="T27" s="333"/>
      <c r="U27" s="333"/>
      <c r="V27" s="334">
        <f>SUM(B27:U27)</f>
        <v>0</v>
      </c>
      <c r="W27" s="316"/>
      <c r="X27" s="316"/>
      <c r="Y27" s="316"/>
      <c r="Z27" s="316"/>
      <c r="AA27" s="316"/>
    </row>
    <row r="28" spans="1:28">
      <c r="A28" s="317"/>
      <c r="B28" s="316"/>
      <c r="C28" s="316"/>
      <c r="D28" s="316"/>
      <c r="E28" s="316"/>
      <c r="F28" s="316"/>
      <c r="G28" s="316"/>
      <c r="H28" s="316"/>
      <c r="I28" s="316"/>
      <c r="J28" s="316"/>
      <c r="K28" s="316"/>
      <c r="L28" s="316"/>
      <c r="M28" s="316"/>
      <c r="N28" s="316"/>
      <c r="O28" s="316"/>
      <c r="P28" s="316"/>
      <c r="Q28" s="316"/>
      <c r="R28" s="316"/>
      <c r="S28" s="316"/>
      <c r="T28" s="316"/>
      <c r="U28" s="316"/>
      <c r="V28" s="334"/>
      <c r="W28" s="316"/>
      <c r="X28" s="316"/>
      <c r="Y28" s="316"/>
      <c r="Z28" s="316"/>
      <c r="AA28" s="316"/>
    </row>
    <row r="29" spans="1:28" ht="17.100000000000001" customHeight="1">
      <c r="A29" s="331" t="s">
        <v>792</v>
      </c>
      <c r="B29" s="332">
        <f>-$A$4/20</f>
        <v>0</v>
      </c>
      <c r="C29" s="332">
        <f t="shared" ref="C29:U29" si="1">-$A$4/20</f>
        <v>0</v>
      </c>
      <c r="D29" s="332">
        <f t="shared" si="1"/>
        <v>0</v>
      </c>
      <c r="E29" s="332">
        <f t="shared" si="1"/>
        <v>0</v>
      </c>
      <c r="F29" s="332">
        <f t="shared" si="1"/>
        <v>0</v>
      </c>
      <c r="G29" s="332">
        <f t="shared" si="1"/>
        <v>0</v>
      </c>
      <c r="H29" s="332">
        <f t="shared" si="1"/>
        <v>0</v>
      </c>
      <c r="I29" s="332">
        <f t="shared" si="1"/>
        <v>0</v>
      </c>
      <c r="J29" s="332">
        <f t="shared" si="1"/>
        <v>0</v>
      </c>
      <c r="K29" s="332">
        <f t="shared" si="1"/>
        <v>0</v>
      </c>
      <c r="L29" s="332">
        <f t="shared" si="1"/>
        <v>0</v>
      </c>
      <c r="M29" s="332">
        <f t="shared" si="1"/>
        <v>0</v>
      </c>
      <c r="N29" s="332">
        <f t="shared" si="1"/>
        <v>0</v>
      </c>
      <c r="O29" s="332">
        <f t="shared" si="1"/>
        <v>0</v>
      </c>
      <c r="P29" s="332">
        <f t="shared" si="1"/>
        <v>0</v>
      </c>
      <c r="Q29" s="332">
        <f t="shared" si="1"/>
        <v>0</v>
      </c>
      <c r="R29" s="332">
        <f t="shared" si="1"/>
        <v>0</v>
      </c>
      <c r="S29" s="332">
        <f t="shared" si="1"/>
        <v>0</v>
      </c>
      <c r="T29" s="332">
        <f t="shared" si="1"/>
        <v>0</v>
      </c>
      <c r="U29" s="332">
        <f t="shared" si="1"/>
        <v>0</v>
      </c>
      <c r="V29" s="334">
        <f>SUM(B29:U29)</f>
        <v>0</v>
      </c>
      <c r="W29" s="316"/>
      <c r="X29" s="316"/>
      <c r="Y29" s="316"/>
      <c r="Z29" s="316"/>
      <c r="AA29" s="316"/>
    </row>
    <row r="30" spans="1:28">
      <c r="A30" s="317"/>
      <c r="B30" s="316"/>
      <c r="C30" s="316"/>
      <c r="D30" s="316"/>
      <c r="E30" s="316"/>
      <c r="F30" s="316"/>
      <c r="G30" s="316"/>
      <c r="H30" s="316"/>
      <c r="I30" s="316"/>
      <c r="J30" s="316"/>
      <c r="K30" s="316"/>
      <c r="L30" s="316"/>
      <c r="M30" s="316"/>
      <c r="N30" s="316"/>
      <c r="O30" s="316"/>
      <c r="P30" s="316"/>
      <c r="Q30" s="316"/>
      <c r="R30" s="316"/>
      <c r="S30" s="316"/>
      <c r="T30" s="316"/>
      <c r="U30" s="316"/>
      <c r="V30" s="334"/>
      <c r="W30" s="316"/>
      <c r="X30" s="316"/>
      <c r="Y30" s="316"/>
      <c r="Z30" s="316"/>
      <c r="AA30" s="316"/>
    </row>
    <row r="31" spans="1:28" ht="33" customHeight="1">
      <c r="A31" s="335" t="s">
        <v>793</v>
      </c>
      <c r="B31" s="336">
        <f>$A$7/20</f>
        <v>0</v>
      </c>
      <c r="C31" s="336">
        <f t="shared" ref="C31:U31" si="2">$A$7/20</f>
        <v>0</v>
      </c>
      <c r="D31" s="336">
        <f t="shared" si="2"/>
        <v>0</v>
      </c>
      <c r="E31" s="336">
        <f t="shared" si="2"/>
        <v>0</v>
      </c>
      <c r="F31" s="336">
        <f t="shared" si="2"/>
        <v>0</v>
      </c>
      <c r="G31" s="336">
        <f t="shared" si="2"/>
        <v>0</v>
      </c>
      <c r="H31" s="336">
        <f t="shared" si="2"/>
        <v>0</v>
      </c>
      <c r="I31" s="336">
        <f t="shared" si="2"/>
        <v>0</v>
      </c>
      <c r="J31" s="336">
        <f t="shared" si="2"/>
        <v>0</v>
      </c>
      <c r="K31" s="336">
        <f t="shared" si="2"/>
        <v>0</v>
      </c>
      <c r="L31" s="336">
        <f t="shared" si="2"/>
        <v>0</v>
      </c>
      <c r="M31" s="336">
        <f t="shared" si="2"/>
        <v>0</v>
      </c>
      <c r="N31" s="336">
        <f t="shared" si="2"/>
        <v>0</v>
      </c>
      <c r="O31" s="336">
        <f t="shared" si="2"/>
        <v>0</v>
      </c>
      <c r="P31" s="336">
        <f t="shared" si="2"/>
        <v>0</v>
      </c>
      <c r="Q31" s="336">
        <f t="shared" si="2"/>
        <v>0</v>
      </c>
      <c r="R31" s="336">
        <f t="shared" si="2"/>
        <v>0</v>
      </c>
      <c r="S31" s="336">
        <f t="shared" si="2"/>
        <v>0</v>
      </c>
      <c r="T31" s="336">
        <f t="shared" si="2"/>
        <v>0</v>
      </c>
      <c r="U31" s="336">
        <f t="shared" si="2"/>
        <v>0</v>
      </c>
      <c r="V31" s="334">
        <f>SUM(B31:U31)</f>
        <v>0</v>
      </c>
      <c r="W31" s="316"/>
      <c r="X31" s="316"/>
      <c r="Y31" s="316"/>
      <c r="Z31" s="316"/>
      <c r="AA31" s="316"/>
    </row>
    <row r="32" spans="1:28">
      <c r="A32" s="317"/>
      <c r="B32" s="316"/>
      <c r="C32" s="316"/>
      <c r="D32" s="316"/>
      <c r="E32" s="316"/>
      <c r="F32" s="316"/>
      <c r="G32" s="316"/>
      <c r="H32" s="316"/>
      <c r="I32" s="316"/>
      <c r="J32" s="316"/>
      <c r="K32" s="316"/>
      <c r="L32" s="316"/>
      <c r="M32" s="316"/>
      <c r="N32" s="316"/>
      <c r="O32" s="316"/>
      <c r="P32" s="316"/>
      <c r="Q32" s="316"/>
      <c r="R32" s="316"/>
      <c r="S32" s="316"/>
      <c r="T32" s="316"/>
      <c r="U32" s="316"/>
      <c r="V32" s="334"/>
      <c r="W32" s="316"/>
      <c r="X32" s="316"/>
      <c r="Y32" s="316"/>
      <c r="Z32" s="316"/>
      <c r="AA32" s="316"/>
    </row>
    <row r="33" spans="1:28">
      <c r="A33" s="335" t="s">
        <v>794</v>
      </c>
      <c r="B33" s="337">
        <f t="shared" ref="B33:U33" si="3">B25+B29+B31</f>
        <v>0</v>
      </c>
      <c r="C33" s="337">
        <f t="shared" si="3"/>
        <v>0</v>
      </c>
      <c r="D33" s="337">
        <f t="shared" si="3"/>
        <v>0</v>
      </c>
      <c r="E33" s="337">
        <f t="shared" si="3"/>
        <v>0</v>
      </c>
      <c r="F33" s="337">
        <f t="shared" si="3"/>
        <v>0</v>
      </c>
      <c r="G33" s="337">
        <f t="shared" si="3"/>
        <v>0</v>
      </c>
      <c r="H33" s="337">
        <f t="shared" si="3"/>
        <v>0</v>
      </c>
      <c r="I33" s="337">
        <f t="shared" si="3"/>
        <v>0</v>
      </c>
      <c r="J33" s="337">
        <f t="shared" si="3"/>
        <v>0</v>
      </c>
      <c r="K33" s="337">
        <f t="shared" si="3"/>
        <v>0</v>
      </c>
      <c r="L33" s="337">
        <f t="shared" si="3"/>
        <v>0</v>
      </c>
      <c r="M33" s="337">
        <f t="shared" si="3"/>
        <v>0</v>
      </c>
      <c r="N33" s="337">
        <f t="shared" si="3"/>
        <v>0</v>
      </c>
      <c r="O33" s="337">
        <f t="shared" si="3"/>
        <v>0</v>
      </c>
      <c r="P33" s="337">
        <f t="shared" si="3"/>
        <v>0</v>
      </c>
      <c r="Q33" s="337">
        <f t="shared" si="3"/>
        <v>0</v>
      </c>
      <c r="R33" s="337">
        <f t="shared" si="3"/>
        <v>0</v>
      </c>
      <c r="S33" s="337">
        <f t="shared" si="3"/>
        <v>0</v>
      </c>
      <c r="T33" s="337">
        <f t="shared" si="3"/>
        <v>0</v>
      </c>
      <c r="U33" s="337">
        <f t="shared" si="3"/>
        <v>0</v>
      </c>
      <c r="V33" s="334">
        <f>SUM(B33:U33)</f>
        <v>0</v>
      </c>
      <c r="W33" s="316"/>
      <c r="X33" s="316"/>
      <c r="Y33" s="316"/>
      <c r="Z33" s="316"/>
      <c r="AA33" s="316"/>
    </row>
    <row r="34" spans="1:28">
      <c r="A34" s="317"/>
      <c r="B34" s="316"/>
      <c r="C34" s="316"/>
      <c r="D34" s="316"/>
      <c r="E34" s="316"/>
      <c r="F34" s="316"/>
      <c r="G34" s="316"/>
      <c r="H34" s="316"/>
      <c r="I34" s="316"/>
      <c r="J34" s="316"/>
      <c r="K34" s="316"/>
      <c r="L34" s="316"/>
      <c r="M34" s="316"/>
      <c r="N34" s="316"/>
      <c r="O34" s="316"/>
      <c r="P34" s="316"/>
      <c r="Q34" s="316"/>
      <c r="R34" s="316"/>
      <c r="S34" s="316"/>
      <c r="T34" s="316"/>
      <c r="U34" s="316"/>
      <c r="V34" s="334"/>
      <c r="W34" s="316"/>
      <c r="X34" s="316"/>
      <c r="Y34" s="316"/>
      <c r="Z34" s="316"/>
      <c r="AA34" s="316"/>
    </row>
    <row r="35" spans="1:28">
      <c r="A35" s="335" t="s">
        <v>795</v>
      </c>
      <c r="B35" s="336">
        <f>-IF(B33&gt;0,B33*0.25,0)</f>
        <v>0</v>
      </c>
      <c r="C35" s="336">
        <f t="shared" ref="C35:U35" si="4">-IF(C33&gt;0,C33*0.25,0)</f>
        <v>0</v>
      </c>
      <c r="D35" s="336">
        <f t="shared" si="4"/>
        <v>0</v>
      </c>
      <c r="E35" s="336">
        <f t="shared" si="4"/>
        <v>0</v>
      </c>
      <c r="F35" s="336">
        <f t="shared" si="4"/>
        <v>0</v>
      </c>
      <c r="G35" s="336">
        <f t="shared" si="4"/>
        <v>0</v>
      </c>
      <c r="H35" s="336">
        <f t="shared" si="4"/>
        <v>0</v>
      </c>
      <c r="I35" s="336">
        <f t="shared" si="4"/>
        <v>0</v>
      </c>
      <c r="J35" s="336">
        <f t="shared" si="4"/>
        <v>0</v>
      </c>
      <c r="K35" s="336">
        <f t="shared" si="4"/>
        <v>0</v>
      </c>
      <c r="L35" s="336">
        <f t="shared" si="4"/>
        <v>0</v>
      </c>
      <c r="M35" s="336">
        <f t="shared" si="4"/>
        <v>0</v>
      </c>
      <c r="N35" s="336">
        <f t="shared" si="4"/>
        <v>0</v>
      </c>
      <c r="O35" s="336">
        <f t="shared" si="4"/>
        <v>0</v>
      </c>
      <c r="P35" s="336">
        <f t="shared" si="4"/>
        <v>0</v>
      </c>
      <c r="Q35" s="336">
        <f t="shared" si="4"/>
        <v>0</v>
      </c>
      <c r="R35" s="336">
        <f t="shared" si="4"/>
        <v>0</v>
      </c>
      <c r="S35" s="336">
        <f t="shared" si="4"/>
        <v>0</v>
      </c>
      <c r="T35" s="336">
        <f t="shared" si="4"/>
        <v>0</v>
      </c>
      <c r="U35" s="336">
        <f t="shared" si="4"/>
        <v>0</v>
      </c>
      <c r="V35" s="334">
        <f>SUM(B35:U35)</f>
        <v>0</v>
      </c>
      <c r="W35" s="316"/>
      <c r="X35" s="316"/>
      <c r="Y35" s="316"/>
      <c r="Z35" s="316"/>
      <c r="AA35" s="316"/>
    </row>
    <row r="36" spans="1:28">
      <c r="A36" s="317"/>
      <c r="B36" s="316"/>
      <c r="C36" s="316"/>
      <c r="D36" s="316"/>
      <c r="E36" s="316"/>
      <c r="F36" s="316"/>
      <c r="G36" s="316"/>
      <c r="H36" s="316"/>
      <c r="I36" s="316"/>
      <c r="J36" s="316"/>
      <c r="K36" s="316"/>
      <c r="L36" s="316"/>
      <c r="M36" s="316"/>
      <c r="N36" s="316"/>
      <c r="O36" s="316"/>
      <c r="P36" s="316"/>
      <c r="Q36" s="316"/>
      <c r="R36" s="316"/>
      <c r="S36" s="316"/>
      <c r="T36" s="316"/>
      <c r="U36" s="316"/>
      <c r="V36" s="334"/>
      <c r="W36" s="316"/>
      <c r="X36" s="316"/>
      <c r="Y36" s="316"/>
      <c r="Z36" s="316"/>
      <c r="AA36" s="316"/>
    </row>
    <row r="37" spans="1:28" ht="30.6" customHeight="1">
      <c r="A37" s="335" t="s">
        <v>796</v>
      </c>
      <c r="B37" s="332">
        <f>A7</f>
        <v>0</v>
      </c>
      <c r="C37" s="333"/>
      <c r="D37" s="333"/>
      <c r="E37" s="333"/>
      <c r="F37" s="333"/>
      <c r="G37" s="333"/>
      <c r="H37" s="333"/>
      <c r="I37" s="333"/>
      <c r="J37" s="333"/>
      <c r="K37" s="333"/>
      <c r="L37" s="333"/>
      <c r="M37" s="333"/>
      <c r="N37" s="333"/>
      <c r="O37" s="333"/>
      <c r="P37" s="333"/>
      <c r="Q37" s="333"/>
      <c r="R37" s="333"/>
      <c r="S37" s="333"/>
      <c r="T37" s="333"/>
      <c r="U37" s="333"/>
      <c r="V37" s="334">
        <f>SUM(B37:U37)</f>
        <v>0</v>
      </c>
      <c r="W37" s="316"/>
      <c r="X37" s="316"/>
      <c r="Y37" s="316"/>
      <c r="Z37" s="316"/>
      <c r="AA37" s="316"/>
    </row>
    <row r="38" spans="1:28">
      <c r="A38" s="317"/>
      <c r="B38" s="316"/>
      <c r="C38" s="316"/>
      <c r="D38" s="316"/>
      <c r="E38" s="316"/>
      <c r="F38" s="316"/>
      <c r="G38" s="316"/>
      <c r="H38" s="316"/>
      <c r="I38" s="316"/>
      <c r="J38" s="316"/>
      <c r="K38" s="316"/>
      <c r="L38" s="316"/>
      <c r="M38" s="316"/>
      <c r="N38" s="316"/>
      <c r="O38" s="316"/>
      <c r="P38" s="316"/>
      <c r="Q38" s="316"/>
      <c r="R38" s="316"/>
      <c r="S38" s="316"/>
      <c r="T38" s="316"/>
      <c r="U38" s="316"/>
      <c r="V38" s="334"/>
      <c r="W38" s="316"/>
      <c r="X38" s="316"/>
      <c r="Y38" s="316"/>
      <c r="Z38" s="316"/>
      <c r="AA38" s="316"/>
    </row>
    <row r="39" spans="1:28">
      <c r="A39" s="335" t="s">
        <v>797</v>
      </c>
      <c r="B39" s="337">
        <f t="shared" ref="B39:U39" si="5">B25+B27+B35</f>
        <v>0</v>
      </c>
      <c r="C39" s="337">
        <f t="shared" si="5"/>
        <v>0</v>
      </c>
      <c r="D39" s="337">
        <f t="shared" si="5"/>
        <v>0</v>
      </c>
      <c r="E39" s="337">
        <f t="shared" si="5"/>
        <v>0</v>
      </c>
      <c r="F39" s="337">
        <f t="shared" si="5"/>
        <v>0</v>
      </c>
      <c r="G39" s="337">
        <f t="shared" si="5"/>
        <v>0</v>
      </c>
      <c r="H39" s="337">
        <f t="shared" si="5"/>
        <v>0</v>
      </c>
      <c r="I39" s="337">
        <f t="shared" si="5"/>
        <v>0</v>
      </c>
      <c r="J39" s="337">
        <f t="shared" si="5"/>
        <v>0</v>
      </c>
      <c r="K39" s="337">
        <f t="shared" si="5"/>
        <v>0</v>
      </c>
      <c r="L39" s="337">
        <f t="shared" si="5"/>
        <v>0</v>
      </c>
      <c r="M39" s="337">
        <f t="shared" si="5"/>
        <v>0</v>
      </c>
      <c r="N39" s="337">
        <f t="shared" si="5"/>
        <v>0</v>
      </c>
      <c r="O39" s="337">
        <f t="shared" si="5"/>
        <v>0</v>
      </c>
      <c r="P39" s="337">
        <f t="shared" si="5"/>
        <v>0</v>
      </c>
      <c r="Q39" s="337">
        <f t="shared" si="5"/>
        <v>0</v>
      </c>
      <c r="R39" s="337">
        <f t="shared" si="5"/>
        <v>0</v>
      </c>
      <c r="S39" s="337">
        <f t="shared" si="5"/>
        <v>0</v>
      </c>
      <c r="T39" s="337">
        <f t="shared" si="5"/>
        <v>0</v>
      </c>
      <c r="U39" s="337">
        <f t="shared" si="5"/>
        <v>0</v>
      </c>
      <c r="V39" s="334">
        <f>SUM(B39:U39)</f>
        <v>0</v>
      </c>
      <c r="W39" s="316"/>
      <c r="X39" s="316"/>
      <c r="Y39" s="316"/>
      <c r="Z39" s="316"/>
      <c r="AA39" s="316"/>
    </row>
    <row r="40" spans="1:28">
      <c r="A40" s="335" t="s">
        <v>798</v>
      </c>
      <c r="B40" s="337">
        <f>B39+B37</f>
        <v>0</v>
      </c>
      <c r="C40" s="337">
        <f t="shared" ref="C40" si="6">C39+C37</f>
        <v>0</v>
      </c>
      <c r="D40" s="337">
        <f>D39+D37</f>
        <v>0</v>
      </c>
      <c r="E40" s="337">
        <f t="shared" ref="E40:U40" si="7">E39+E37</f>
        <v>0</v>
      </c>
      <c r="F40" s="337">
        <f t="shared" si="7"/>
        <v>0</v>
      </c>
      <c r="G40" s="337">
        <f t="shared" si="7"/>
        <v>0</v>
      </c>
      <c r="H40" s="337">
        <f t="shared" si="7"/>
        <v>0</v>
      </c>
      <c r="I40" s="337">
        <f t="shared" si="7"/>
        <v>0</v>
      </c>
      <c r="J40" s="337">
        <f t="shared" si="7"/>
        <v>0</v>
      </c>
      <c r="K40" s="337">
        <f t="shared" si="7"/>
        <v>0</v>
      </c>
      <c r="L40" s="337">
        <f t="shared" si="7"/>
        <v>0</v>
      </c>
      <c r="M40" s="337">
        <f t="shared" si="7"/>
        <v>0</v>
      </c>
      <c r="N40" s="337">
        <f t="shared" si="7"/>
        <v>0</v>
      </c>
      <c r="O40" s="337">
        <f t="shared" si="7"/>
        <v>0</v>
      </c>
      <c r="P40" s="337">
        <f t="shared" si="7"/>
        <v>0</v>
      </c>
      <c r="Q40" s="337">
        <f t="shared" si="7"/>
        <v>0</v>
      </c>
      <c r="R40" s="337">
        <f t="shared" si="7"/>
        <v>0</v>
      </c>
      <c r="S40" s="337">
        <f t="shared" si="7"/>
        <v>0</v>
      </c>
      <c r="T40" s="337">
        <f t="shared" si="7"/>
        <v>0</v>
      </c>
      <c r="U40" s="337">
        <f t="shared" si="7"/>
        <v>0</v>
      </c>
      <c r="V40" s="334">
        <f>SUM(B40:U40)</f>
        <v>0</v>
      </c>
      <c r="W40" s="316"/>
      <c r="X40" s="316"/>
      <c r="Y40" s="316"/>
      <c r="Z40" s="316"/>
      <c r="AA40" s="316"/>
    </row>
    <row r="41" spans="1:28">
      <c r="A41" s="317"/>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row>
    <row r="42" spans="1:28" ht="28.2">
      <c r="A42" s="338" t="s">
        <v>799</v>
      </c>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row>
    <row r="43" spans="1:28">
      <c r="A43" s="728">
        <f>IF(F1="ok",-NPV(0.0747,B39:U39),0)</f>
        <v>0</v>
      </c>
      <c r="B43" s="316"/>
      <c r="C43" s="729"/>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row>
    <row r="44" spans="1:28">
      <c r="A44" s="338" t="s">
        <v>800</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row>
    <row r="45" spans="1:28">
      <c r="A45" s="339" t="e">
        <f>IRR(B40:U40)</f>
        <v>#NUM!</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row>
    <row r="46" spans="1:28">
      <c r="A46" s="317"/>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row>
    <row r="47" spans="1:28">
      <c r="A47" s="317"/>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row>
    <row r="48" spans="1:28">
      <c r="A48" s="317"/>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row>
    <row r="49" spans="1:37">
      <c r="A49" s="317"/>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row>
    <row r="50" spans="1:37">
      <c r="A50" s="317"/>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row>
    <row r="51" spans="1:37">
      <c r="A51" s="317"/>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row>
    <row r="52" spans="1:37">
      <c r="A52" s="317"/>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row>
    <row r="53" spans="1:37">
      <c r="A53" s="317"/>
      <c r="B53" s="317"/>
      <c r="C53" s="317"/>
      <c r="D53" s="317"/>
      <c r="E53" s="317"/>
      <c r="F53" s="317"/>
      <c r="G53" s="317"/>
      <c r="H53" s="317"/>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row>
    <row r="54" spans="1:37">
      <c r="A54" s="317"/>
      <c r="B54" s="317"/>
      <c r="C54" s="317"/>
      <c r="D54" s="317"/>
      <c r="E54" s="317"/>
      <c r="F54" s="317"/>
      <c r="G54" s="317"/>
      <c r="H54" s="317"/>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row>
    <row r="55" spans="1:37">
      <c r="A55" s="317"/>
      <c r="B55" s="317"/>
      <c r="C55" s="317"/>
      <c r="D55" s="317"/>
      <c r="E55" s="317"/>
      <c r="F55" s="317"/>
      <c r="G55" s="317"/>
      <c r="H55" s="317"/>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row>
    <row r="56" spans="1:37">
      <c r="A56" s="317"/>
      <c r="B56" s="317"/>
      <c r="C56" s="317"/>
      <c r="D56" s="317"/>
      <c r="E56" s="317"/>
      <c r="F56" s="317"/>
      <c r="G56" s="317"/>
      <c r="H56" s="317"/>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row>
    <row r="57" spans="1:37">
      <c r="A57" s="317"/>
      <c r="B57" s="317"/>
      <c r="C57" s="317"/>
      <c r="D57" s="317"/>
      <c r="E57" s="317"/>
      <c r="F57" s="317"/>
      <c r="G57" s="317"/>
      <c r="H57" s="317"/>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row>
    <row r="58" spans="1:37">
      <c r="A58" s="317"/>
      <c r="B58" s="317"/>
      <c r="C58" s="317"/>
      <c r="D58" s="317"/>
      <c r="E58" s="317"/>
      <c r="F58" s="317"/>
      <c r="G58" s="317"/>
      <c r="H58" s="317"/>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row>
    <row r="59" spans="1:37">
      <c r="A59" s="317"/>
      <c r="B59" s="317"/>
      <c r="C59" s="317"/>
      <c r="D59" s="317"/>
      <c r="E59" s="317"/>
      <c r="F59" s="317"/>
      <c r="G59" s="317"/>
      <c r="H59" s="317"/>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row>
    <row r="60" spans="1:37">
      <c r="A60" s="317"/>
      <c r="B60" s="317"/>
      <c r="C60" s="317"/>
      <c r="D60" s="317"/>
      <c r="E60" s="317"/>
      <c r="F60" s="317"/>
      <c r="G60" s="317"/>
      <c r="H60" s="317"/>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row>
    <row r="61" spans="1:37">
      <c r="A61" s="317"/>
      <c r="B61" s="317"/>
      <c r="C61" s="317"/>
      <c r="D61" s="317"/>
      <c r="E61" s="317"/>
      <c r="F61" s="317"/>
      <c r="G61" s="317"/>
      <c r="H61" s="317"/>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row>
    <row r="62" spans="1:37">
      <c r="A62" s="317"/>
      <c r="B62" s="317"/>
      <c r="C62" s="317"/>
      <c r="D62" s="317"/>
      <c r="E62" s="317"/>
      <c r="F62" s="317"/>
      <c r="G62" s="317"/>
      <c r="H62" s="317"/>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row>
    <row r="63" spans="1:37">
      <c r="A63" s="317"/>
      <c r="B63" s="317"/>
      <c r="C63" s="317"/>
      <c r="D63" s="317"/>
      <c r="E63" s="317"/>
      <c r="F63" s="317"/>
      <c r="G63" s="317"/>
      <c r="H63" s="317"/>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row>
    <row r="64" spans="1:37">
      <c r="A64" s="317"/>
      <c r="B64" s="317"/>
      <c r="C64" s="317"/>
      <c r="D64" s="317"/>
      <c r="E64" s="317"/>
      <c r="F64" s="317"/>
      <c r="G64" s="317"/>
      <c r="H64" s="317"/>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row>
    <row r="65" spans="1:37">
      <c r="A65" s="317"/>
      <c r="B65" s="317"/>
      <c r="C65" s="317"/>
      <c r="D65" s="317"/>
      <c r="E65" s="317"/>
      <c r="F65" s="317"/>
      <c r="G65" s="317"/>
      <c r="H65" s="317"/>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row>
    <row r="66" spans="1:37">
      <c r="A66" s="317"/>
      <c r="B66" s="317"/>
      <c r="C66" s="317"/>
      <c r="D66" s="317"/>
      <c r="E66" s="317"/>
      <c r="F66" s="317"/>
      <c r="G66" s="317"/>
      <c r="H66" s="317"/>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row>
    <row r="67" spans="1:37">
      <c r="A67" s="317"/>
      <c r="B67" s="317"/>
      <c r="C67" s="317"/>
      <c r="D67" s="317"/>
      <c r="E67" s="317"/>
      <c r="F67" s="317"/>
      <c r="G67" s="317"/>
      <c r="H67" s="317"/>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row>
    <row r="68" spans="1:37">
      <c r="A68" s="317"/>
      <c r="B68" s="317"/>
      <c r="C68" s="317"/>
      <c r="D68" s="317"/>
      <c r="E68" s="317"/>
      <c r="F68" s="317"/>
      <c r="G68" s="317"/>
      <c r="H68" s="317"/>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row>
    <row r="69" spans="1:37">
      <c r="A69" s="317"/>
      <c r="B69" s="317"/>
      <c r="C69" s="317"/>
      <c r="D69" s="317"/>
      <c r="E69" s="317"/>
      <c r="F69" s="317"/>
      <c r="G69" s="317"/>
      <c r="H69" s="317"/>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row>
    <row r="70" spans="1:37">
      <c r="A70" s="317"/>
      <c r="B70" s="317"/>
      <c r="C70" s="317"/>
      <c r="D70" s="317"/>
      <c r="E70" s="317"/>
      <c r="F70" s="317"/>
      <c r="G70" s="317"/>
      <c r="H70" s="317"/>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row>
    <row r="71" spans="1:37">
      <c r="A71" s="317"/>
      <c r="B71" s="317"/>
      <c r="C71" s="317"/>
      <c r="D71" s="317"/>
      <c r="E71" s="317"/>
      <c r="F71" s="317"/>
      <c r="G71" s="317"/>
      <c r="H71" s="317"/>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row>
    <row r="72" spans="1:37">
      <c r="A72" s="317"/>
      <c r="B72" s="317"/>
      <c r="C72" s="317"/>
      <c r="D72" s="317"/>
      <c r="E72" s="317"/>
      <c r="F72" s="317"/>
      <c r="G72" s="317"/>
      <c r="H72" s="317"/>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row>
    <row r="73" spans="1:37">
      <c r="A73" s="317"/>
      <c r="B73" s="317"/>
      <c r="C73" s="317"/>
      <c r="D73" s="317"/>
      <c r="E73" s="317"/>
      <c r="F73" s="317"/>
      <c r="G73" s="317"/>
      <c r="H73" s="317"/>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row>
    <row r="74" spans="1:37">
      <c r="A74" s="317"/>
      <c r="B74" s="317"/>
      <c r="C74" s="317"/>
      <c r="D74" s="317"/>
      <c r="E74" s="317"/>
      <c r="F74" s="317"/>
      <c r="G74" s="317"/>
      <c r="H74" s="317"/>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row>
    <row r="75" spans="1:37">
      <c r="A75" s="317"/>
      <c r="B75" s="317"/>
      <c r="C75" s="317"/>
      <c r="D75" s="317"/>
      <c r="E75" s="317"/>
      <c r="F75" s="317"/>
      <c r="G75" s="317"/>
      <c r="H75" s="317"/>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row>
    <row r="76" spans="1:37">
      <c r="A76" s="317"/>
      <c r="B76" s="317"/>
      <c r="C76" s="317"/>
      <c r="D76" s="317"/>
      <c r="E76" s="317"/>
      <c r="F76" s="317"/>
      <c r="G76" s="317"/>
      <c r="H76" s="317"/>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row>
    <row r="77" spans="1:37">
      <c r="A77" s="317"/>
      <c r="B77" s="317"/>
      <c r="C77" s="317"/>
      <c r="D77" s="317"/>
      <c r="E77" s="317"/>
      <c r="F77" s="317"/>
      <c r="G77" s="317"/>
      <c r="H77" s="317"/>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row>
    <row r="78" spans="1:37">
      <c r="A78" s="317"/>
      <c r="B78" s="317"/>
      <c r="C78" s="317"/>
      <c r="D78" s="317"/>
      <c r="E78" s="317"/>
      <c r="F78" s="317"/>
      <c r="G78" s="317"/>
      <c r="H78" s="317"/>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row>
    <row r="79" spans="1:37">
      <c r="A79" s="317"/>
      <c r="B79" s="317"/>
      <c r="C79" s="317"/>
      <c r="D79" s="317"/>
      <c r="E79" s="317"/>
      <c r="F79" s="317"/>
      <c r="G79" s="317"/>
      <c r="H79" s="317"/>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row>
    <row r="80" spans="1:37">
      <c r="A80" s="317"/>
      <c r="B80" s="317"/>
      <c r="C80" s="317"/>
      <c r="D80" s="317"/>
      <c r="E80" s="317"/>
      <c r="F80" s="317"/>
      <c r="G80" s="317"/>
      <c r="H80" s="317"/>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row>
    <row r="81" spans="1:37">
      <c r="A81" s="317"/>
      <c r="B81" s="317"/>
      <c r="C81" s="317"/>
      <c r="D81" s="317"/>
      <c r="E81" s="317"/>
      <c r="F81" s="317"/>
      <c r="G81" s="317"/>
      <c r="H81" s="317"/>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row>
    <row r="82" spans="1:37">
      <c r="A82" s="317"/>
      <c r="B82" s="317"/>
      <c r="C82" s="317"/>
      <c r="D82" s="317"/>
      <c r="E82" s="317"/>
      <c r="F82" s="317"/>
      <c r="G82" s="317"/>
      <c r="H82" s="317"/>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row>
    <row r="83" spans="1:37">
      <c r="A83" s="317"/>
      <c r="B83" s="317"/>
      <c r="C83" s="317"/>
      <c r="D83" s="317"/>
      <c r="E83" s="317"/>
      <c r="F83" s="317"/>
      <c r="G83" s="317"/>
      <c r="H83" s="317"/>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row>
    <row r="84" spans="1:37">
      <c r="A84" s="317"/>
      <c r="B84" s="317"/>
      <c r="C84" s="317"/>
      <c r="D84" s="317"/>
      <c r="E84" s="317"/>
      <c r="F84" s="317"/>
      <c r="G84" s="317"/>
      <c r="H84" s="317"/>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row>
    <row r="85" spans="1:37">
      <c r="A85" s="317"/>
      <c r="B85" s="317"/>
      <c r="C85" s="317"/>
      <c r="D85" s="317"/>
      <c r="E85" s="317"/>
      <c r="F85" s="317"/>
      <c r="G85" s="317"/>
      <c r="H85" s="317"/>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row>
    <row r="86" spans="1:37">
      <c r="A86" s="317"/>
      <c r="B86" s="317"/>
      <c r="C86" s="317"/>
      <c r="D86" s="317"/>
      <c r="E86" s="317"/>
      <c r="F86" s="317"/>
      <c r="G86" s="317"/>
      <c r="H86" s="317"/>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row>
    <row r="87" spans="1:37">
      <c r="A87" s="317"/>
      <c r="B87" s="317"/>
      <c r="C87" s="317"/>
      <c r="D87" s="317"/>
      <c r="E87" s="317"/>
      <c r="F87" s="317"/>
      <c r="G87" s="317"/>
      <c r="H87" s="317"/>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row>
    <row r="88" spans="1:37">
      <c r="A88" s="317"/>
      <c r="B88" s="317"/>
      <c r="C88" s="317"/>
      <c r="D88" s="317"/>
      <c r="E88" s="317"/>
      <c r="F88" s="317"/>
      <c r="G88" s="317"/>
      <c r="H88" s="317"/>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row>
    <row r="89" spans="1:37">
      <c r="A89" s="317"/>
      <c r="B89" s="317"/>
      <c r="C89" s="317"/>
      <c r="D89" s="317"/>
      <c r="E89" s="317"/>
      <c r="F89" s="317"/>
      <c r="G89" s="317"/>
      <c r="H89" s="317"/>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row>
    <row r="90" spans="1:37">
      <c r="A90" s="317"/>
      <c r="B90" s="317"/>
      <c r="C90" s="317"/>
      <c r="D90" s="317"/>
      <c r="E90" s="317"/>
      <c r="F90" s="317"/>
      <c r="G90" s="317"/>
      <c r="H90" s="317"/>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row>
    <row r="91" spans="1:37">
      <c r="A91" s="317"/>
      <c r="B91" s="317"/>
      <c r="C91" s="317"/>
      <c r="D91" s="317"/>
      <c r="E91" s="317"/>
      <c r="F91" s="317"/>
      <c r="G91" s="317"/>
      <c r="H91" s="317"/>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row>
    <row r="92" spans="1:37">
      <c r="A92" s="317"/>
      <c r="B92" s="317"/>
      <c r="C92" s="317"/>
      <c r="D92" s="317"/>
      <c r="E92" s="317"/>
      <c r="F92" s="317"/>
      <c r="G92" s="317"/>
      <c r="H92" s="317"/>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row>
    <row r="93" spans="1:37">
      <c r="A93" s="317"/>
      <c r="B93" s="317"/>
      <c r="C93" s="317"/>
      <c r="D93" s="317"/>
      <c r="E93" s="317"/>
      <c r="F93" s="317"/>
      <c r="G93" s="317"/>
      <c r="H93" s="317"/>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row>
    <row r="94" spans="1:37">
      <c r="A94" s="317"/>
      <c r="B94" s="317"/>
      <c r="C94" s="317"/>
      <c r="D94" s="317"/>
      <c r="E94" s="317"/>
      <c r="F94" s="317"/>
      <c r="G94" s="317"/>
      <c r="H94" s="317"/>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row>
    <row r="95" spans="1:37">
      <c r="A95" s="317"/>
      <c r="B95" s="317"/>
      <c r="C95" s="317"/>
      <c r="D95" s="317"/>
      <c r="E95" s="317"/>
      <c r="F95" s="317"/>
      <c r="G95" s="317"/>
      <c r="H95" s="317"/>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row>
    <row r="96" spans="1:37">
      <c r="A96" s="317"/>
      <c r="B96" s="317"/>
      <c r="C96" s="317"/>
      <c r="D96" s="317"/>
      <c r="E96" s="317"/>
      <c r="F96" s="317"/>
      <c r="G96" s="317"/>
      <c r="H96" s="317"/>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row>
    <row r="97" spans="1:37">
      <c r="A97" s="317"/>
      <c r="B97" s="317"/>
      <c r="C97" s="317"/>
      <c r="D97" s="317"/>
      <c r="E97" s="317"/>
      <c r="F97" s="317"/>
      <c r="G97" s="317"/>
      <c r="H97" s="317"/>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row>
    <row r="98" spans="1:37">
      <c r="A98" s="317"/>
      <c r="B98" s="317"/>
      <c r="C98" s="317"/>
      <c r="D98" s="317"/>
      <c r="E98" s="317"/>
      <c r="F98" s="317"/>
      <c r="G98" s="317"/>
      <c r="H98" s="317"/>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row>
    <row r="99" spans="1:37">
      <c r="A99" s="317"/>
      <c r="B99" s="317"/>
      <c r="C99" s="317"/>
      <c r="D99" s="317"/>
      <c r="E99" s="317"/>
      <c r="F99" s="317"/>
      <c r="G99" s="317"/>
      <c r="H99" s="317"/>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row>
    <row r="100" spans="1:37">
      <c r="A100" s="317"/>
      <c r="B100" s="317"/>
      <c r="C100" s="317"/>
      <c r="D100" s="317"/>
      <c r="E100" s="317"/>
      <c r="F100" s="317"/>
      <c r="G100" s="317"/>
      <c r="H100" s="317"/>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row>
    <row r="101" spans="1:37">
      <c r="A101" s="317"/>
      <c r="B101" s="317"/>
      <c r="C101" s="317"/>
      <c r="D101" s="317"/>
      <c r="E101" s="317"/>
      <c r="F101" s="317"/>
      <c r="G101" s="317"/>
      <c r="H101" s="317"/>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row>
    <row r="102" spans="1:37">
      <c r="A102" s="317"/>
      <c r="B102" s="317"/>
      <c r="C102" s="317"/>
      <c r="D102" s="317"/>
      <c r="E102" s="317"/>
      <c r="F102" s="317"/>
      <c r="G102" s="317"/>
      <c r="H102" s="317"/>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row>
    <row r="103" spans="1:37">
      <c r="A103" s="317"/>
      <c r="B103" s="317"/>
      <c r="C103" s="317"/>
      <c r="D103" s="317"/>
      <c r="E103" s="317"/>
      <c r="F103" s="317"/>
      <c r="G103" s="317"/>
      <c r="H103" s="317"/>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row>
    <row r="104" spans="1:37">
      <c r="A104" s="317"/>
      <c r="B104" s="317"/>
      <c r="C104" s="317"/>
      <c r="D104" s="317"/>
      <c r="E104" s="317"/>
      <c r="F104" s="317"/>
      <c r="G104" s="317"/>
      <c r="H104" s="317"/>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row>
    <row r="105" spans="1:37">
      <c r="A105" s="317"/>
      <c r="B105" s="317"/>
      <c r="C105" s="317"/>
      <c r="D105" s="317"/>
      <c r="E105" s="317"/>
      <c r="F105" s="317"/>
      <c r="G105" s="317"/>
      <c r="H105" s="317"/>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row>
    <row r="106" spans="1:37">
      <c r="A106" s="317"/>
      <c r="B106" s="317"/>
      <c r="C106" s="317"/>
      <c r="D106" s="317"/>
      <c r="E106" s="317"/>
      <c r="F106" s="317"/>
      <c r="G106" s="317"/>
      <c r="H106" s="317"/>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row>
    <row r="107" spans="1:37">
      <c r="A107" s="317"/>
      <c r="B107" s="317"/>
      <c r="C107" s="317"/>
      <c r="D107" s="317"/>
      <c r="E107" s="317"/>
      <c r="F107" s="317"/>
      <c r="G107" s="317"/>
      <c r="H107" s="317"/>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row>
    <row r="108" spans="1:37">
      <c r="A108" s="317"/>
      <c r="B108" s="317"/>
      <c r="C108" s="317"/>
      <c r="D108" s="317"/>
      <c r="E108" s="317"/>
      <c r="F108" s="317"/>
      <c r="G108" s="317"/>
      <c r="H108" s="317"/>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row>
  </sheetData>
  <sheetProtection algorithmName="SHA-512" hashValue="TMefKHr//Wbrha3Kueu/dYHy3mOItxo223pMvHrYPn0/Raoa90uxYiRa8u47h7BIBT7O7PRXkIZRTkxcTNkffQ==" saltValue="PQ94BMB8VEGB4wEW41w/gw==" spinCount="100000" sheet="1" objects="1" scenarios="1"/>
  <mergeCells count="3">
    <mergeCell ref="A9:B9"/>
    <mergeCell ref="A18:B18"/>
    <mergeCell ref="A22:V22"/>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D598C01543094088DF4F663D839D2F" ma:contentTypeVersion="16" ma:contentTypeDescription="Crée un document." ma:contentTypeScope="" ma:versionID="65816e1b231812bb714bfea5a5d9a833">
  <xsd:schema xmlns:xsd="http://www.w3.org/2001/XMLSchema" xmlns:xs="http://www.w3.org/2001/XMLSchema" xmlns:p="http://schemas.microsoft.com/office/2006/metadata/properties" xmlns:ns3="ec1616b0-92c7-4956-899e-4701bba629df" xmlns:ns4="bf30a2b9-7406-497a-8738-659c5be4ea2c" targetNamespace="http://schemas.microsoft.com/office/2006/metadata/properties" ma:root="true" ma:fieldsID="f24ca6933228b4a536c2c5ada4f60e51" ns3:_="" ns4:_="">
    <xsd:import namespace="ec1616b0-92c7-4956-899e-4701bba629df"/>
    <xsd:import namespace="bf30a2b9-7406-497a-8738-659c5be4ea2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_activity" minOccurs="0"/>
                <xsd:element ref="ns4:MediaServiceLocation"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616b0-92c7-4956-899e-4701bba629d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30a2b9-7406-497a-8738-659c5be4ea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f30a2b9-7406-497a-8738-659c5be4ea2c" xsi:nil="true"/>
  </documentManagement>
</p:properties>
</file>

<file path=customXml/itemProps1.xml><?xml version="1.0" encoding="utf-8"?>
<ds:datastoreItem xmlns:ds="http://schemas.openxmlformats.org/officeDocument/2006/customXml" ds:itemID="{FBEBA1B5-35B0-419B-8229-25C32247E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616b0-92c7-4956-899e-4701bba629df"/>
    <ds:schemaRef ds:uri="bf30a2b9-7406-497a-8738-659c5be4ea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4685B0-F746-4E77-86B4-A44CEB867733}">
  <ds:schemaRefs>
    <ds:schemaRef ds:uri="http://schemas.microsoft.com/sharepoint/v3/contenttype/forms"/>
  </ds:schemaRefs>
</ds:datastoreItem>
</file>

<file path=customXml/itemProps3.xml><?xml version="1.0" encoding="utf-8"?>
<ds:datastoreItem xmlns:ds="http://schemas.openxmlformats.org/officeDocument/2006/customXml" ds:itemID="{01734861-FF5F-4E46-AF06-397BF3554C29}">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ec1616b0-92c7-4956-899e-4701bba629df"/>
    <ds:schemaRef ds:uri="bf30a2b9-7406-497a-8738-659c5be4ea2c"/>
    <ds:schemaRef ds:uri="http://purl.org/dc/elements/1.1/"/>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Accueil et légendes</vt:lpstr>
      <vt:lpstr>Fiche projet biomasse</vt:lpstr>
      <vt:lpstr>RECAP</vt:lpstr>
      <vt:lpstr>Aide ratios</vt:lpstr>
      <vt:lpstr>Simulation FC</vt:lpstr>
      <vt:lpstr>Menus biomasse</vt:lpstr>
      <vt:lpstr>Valeurs de reference</vt:lpstr>
      <vt:lpstr>Calcul déficit de financement</vt:lpstr>
      <vt:lpstr>'Fiche projet biomasse'!_ftnref1</vt:lpstr>
      <vt:lpstr>autofinancement</vt:lpstr>
      <vt:lpstr>B_collectif</vt:lpstr>
      <vt:lpstr>B_entreprise</vt:lpstr>
      <vt:lpstr>categorie</vt:lpstr>
      <vt:lpstr>CD</vt:lpstr>
      <vt:lpstr>ch_chaufferie_biomasse</vt:lpstr>
      <vt:lpstr>ch_collectif</vt:lpstr>
      <vt:lpstr>ch_entreprise</vt:lpstr>
      <vt:lpstr>ch_localisation</vt:lpstr>
      <vt:lpstr>ch_taille</vt:lpstr>
      <vt:lpstr>collectif</vt:lpstr>
      <vt:lpstr>concurrentiel</vt:lpstr>
      <vt:lpstr>conso_appoint</vt:lpstr>
      <vt:lpstr>dep_eligibles</vt:lpstr>
      <vt:lpstr>entreprise</vt:lpstr>
      <vt:lpstr>Excel_BuiltIn__FilterDatabase_4</vt:lpstr>
      <vt:lpstr>mode_calcul_aide</vt:lpstr>
      <vt:lpstr>montant_des_depenses</vt:lpstr>
      <vt:lpstr>nat_appoint</vt:lpstr>
      <vt:lpstr>nb_appoint</vt:lpstr>
      <vt:lpstr>nrj_appoint</vt:lpstr>
      <vt:lpstr>RECAP!Print_Area</vt:lpstr>
      <vt:lpstr>'Valeurs de reference'!Print_Area</vt:lpstr>
      <vt:lpstr>prix_appoint</vt:lpstr>
      <vt:lpstr>Prod_biomasse</vt:lpstr>
      <vt:lpstr>production</vt:lpstr>
      <vt:lpstr>Puiss_biomasse</vt:lpstr>
      <vt:lpstr>puissance_appoint</vt:lpstr>
      <vt:lpstr>sub_ADEME</vt:lpstr>
      <vt:lpstr>subvention_ADEME</vt:lpstr>
      <vt:lpstr>subvention_ADEMEp</vt:lpstr>
      <vt:lpstr>subvention_ADEMEr</vt:lpstr>
      <vt:lpstr>subventions</vt:lpstr>
      <vt:lpstr>subventions_tot</vt:lpstr>
      <vt:lpstr>total_depenses</vt:lpstr>
      <vt:lpstr>zero</vt:lpstr>
    </vt:vector>
  </TitlesOfParts>
  <Manager/>
  <Company>ADEME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VAYSSIE Fanny</dc:creator>
  <cp:keywords/>
  <dc:description/>
  <cp:lastModifiedBy>Sonia Aimé</cp:lastModifiedBy>
  <cp:revision/>
  <dcterms:created xsi:type="dcterms:W3CDTF">2020-05-24T16:41:23Z</dcterms:created>
  <dcterms:modified xsi:type="dcterms:W3CDTF">2024-04-23T13:33:51Z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0x0101007DD598C01543094088DF4F663D839D2F</vt:lpwstr>
  </property>
</Properties>
</file>